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รายชื่อ พม.(วิชาการ)" sheetId="1" r:id="rId1"/>
  </sheets>
  <definedNames>
    <definedName name="_xlnm._FilterDatabase" localSheetId="0" hidden="1">'รายชื่อ พม.(วิชาการ)'!$A$6:$R$241</definedName>
    <definedName name="_xlnm.Print_Area" localSheetId="0">'รายชื่อ พม.(วิชาการ)'!$A$1:$S$426</definedName>
    <definedName name="_xlnm.Print_Titles" localSheetId="0">'รายชื่อ พม.(วิชาการ)'!$1:$5</definedName>
  </definedNames>
  <calcPr fullCalcOnLoad="1"/>
</workbook>
</file>

<file path=xl/sharedStrings.xml><?xml version="1.0" encoding="utf-8"?>
<sst xmlns="http://schemas.openxmlformats.org/spreadsheetml/2006/main" count="2104" uniqueCount="902">
  <si>
    <t>ลำดับที่</t>
  </si>
  <si>
    <t>ชื่อ - สกุล</t>
  </si>
  <si>
    <t>ตำแหน่ง</t>
  </si>
  <si>
    <t>สังกัด</t>
  </si>
  <si>
    <t>1</t>
  </si>
  <si>
    <t>อาจารย์</t>
  </si>
  <si>
    <t>กาญจนา  สุขพิทักษ์</t>
  </si>
  <si>
    <t>คณะครุศาสตร์</t>
  </si>
  <si>
    <t>2</t>
  </si>
  <si>
    <t>กุสุมา  ยกชู</t>
  </si>
  <si>
    <t>3</t>
  </si>
  <si>
    <t>ดร.นงลักษณ์  ใจฉลาด</t>
  </si>
  <si>
    <t>4</t>
  </si>
  <si>
    <t>นภาพร  แสงสุข</t>
  </si>
  <si>
    <t>5</t>
  </si>
  <si>
    <t>ดร.ปิยลักษณ์  พฤกษะวัน</t>
  </si>
  <si>
    <t>6</t>
  </si>
  <si>
    <t>ดร.พัชราวลัย  มีทรัพย์</t>
  </si>
  <si>
    <t>7</t>
  </si>
  <si>
    <t>ภาวิณี  เดชเทศ</t>
  </si>
  <si>
    <t>8</t>
  </si>
  <si>
    <t>ภาวิดา  มหาวงศ์</t>
  </si>
  <si>
    <t>9</t>
  </si>
  <si>
    <t>สุนทรี  จูงวงค์สุข</t>
  </si>
  <si>
    <t>10</t>
  </si>
  <si>
    <t>เบญญาพัชร์  วันทอง</t>
  </si>
  <si>
    <t>11</t>
  </si>
  <si>
    <t>จิรุตถ์  ภู่เจริญ</t>
  </si>
  <si>
    <t>12</t>
  </si>
  <si>
    <t>ดร.พรชัย  ทองเจือ</t>
  </si>
  <si>
    <t>13</t>
  </si>
  <si>
    <t>ดร.ภัคพล  ปรีชาศิลป์</t>
  </si>
  <si>
    <t>14</t>
  </si>
  <si>
    <t>ดร.สมหมาย  อ่ำดอนกลอย</t>
  </si>
  <si>
    <t>15</t>
  </si>
  <si>
    <t>อนุชา  ภูมิสิทธิพร</t>
  </si>
  <si>
    <t>16</t>
  </si>
  <si>
    <t>อนุพงษ์  กมุกะมกุล</t>
  </si>
  <si>
    <t>17</t>
  </si>
  <si>
    <t>ศักย์ชัย  เพชรสุวรรณ</t>
  </si>
  <si>
    <t>18</t>
  </si>
  <si>
    <t>ธัญญรัตน์   อ่ำดี</t>
  </si>
  <si>
    <t>19</t>
  </si>
  <si>
    <t>ดร.สวนีย์    เสริมสุข</t>
  </si>
  <si>
    <t>20</t>
  </si>
  <si>
    <t>ผศ.ดร.</t>
  </si>
  <si>
    <t>อนุ   เจริญวงศ์ระยับ</t>
  </si>
  <si>
    <t>21</t>
  </si>
  <si>
    <t>ดร.ณิรดา  เวชญาลักษณ์</t>
  </si>
  <si>
    <t>22</t>
  </si>
  <si>
    <t>ผศ.</t>
  </si>
  <si>
    <t>เดชน์    คงอิ่ม</t>
  </si>
  <si>
    <t>23</t>
  </si>
  <si>
    <t>พิเชฐ  สยมภูวนาถ</t>
  </si>
  <si>
    <t>24</t>
  </si>
  <si>
    <t>ดร.ปิยมนัส  วรวิทย์รัตนกุล</t>
  </si>
  <si>
    <t>25</t>
  </si>
  <si>
    <t>กมลลักษณ์  นามวงศ์</t>
  </si>
  <si>
    <t>คณะครุศาสตร์  โรงเรียนสาธิต</t>
  </si>
  <si>
    <t>26</t>
  </si>
  <si>
    <t>วนิดา  กมุกะมกุล</t>
  </si>
  <si>
    <t>27</t>
  </si>
  <si>
    <t>วิภา  ทองบุรี</t>
  </si>
  <si>
    <t>28</t>
  </si>
  <si>
    <t>วีณารัตน์  ราศิริ</t>
  </si>
  <si>
    <t>29</t>
  </si>
  <si>
    <t>สมศรี  สมบูรณ์</t>
  </si>
  <si>
    <t>30</t>
  </si>
  <si>
    <t>สุพัตรา  ประเสริฐกุล</t>
  </si>
  <si>
    <t>31</t>
  </si>
  <si>
    <t>อารีย์  เสนาชัย</t>
  </si>
  <si>
    <t>32</t>
  </si>
  <si>
    <t>สำรวย  สารถี</t>
  </si>
  <si>
    <t>33</t>
  </si>
  <si>
    <t>อรุณรัตน์  วันเพ็ง</t>
  </si>
  <si>
    <t>34</t>
  </si>
  <si>
    <t>อินทิรา  โพธิ์ทอง</t>
  </si>
  <si>
    <t>35</t>
  </si>
  <si>
    <t>ธนวิน  ณ น่าน</t>
  </si>
  <si>
    <t>36</t>
  </si>
  <si>
    <t>ยุทธพัฒน์  ศรีกุม</t>
  </si>
  <si>
    <t>37</t>
  </si>
  <si>
    <t>มธุรส      ภูมิผล</t>
  </si>
  <si>
    <t>38</t>
  </si>
  <si>
    <t>อ้อมขวัญ  ขาวละออง</t>
  </si>
  <si>
    <t>39</t>
  </si>
  <si>
    <t>อมรรัตน์   วีระเดชประไพ</t>
  </si>
  <si>
    <t>40</t>
  </si>
  <si>
    <t>ชุติกาญจณ์  แตงดี</t>
  </si>
  <si>
    <t>41</t>
  </si>
  <si>
    <t>สุนันทา  นิ่มทอง</t>
  </si>
  <si>
    <t>42</t>
  </si>
  <si>
    <t>พิมพ์ณัชญามาศ  พ่วงพร้อม</t>
  </si>
  <si>
    <t>43</t>
  </si>
  <si>
    <t>ยุวดี  มีชัย</t>
  </si>
  <si>
    <t>44</t>
  </si>
  <si>
    <t>ชณารัตน์       มีพยุง</t>
  </si>
  <si>
    <t>45</t>
  </si>
  <si>
    <t>วไลลักษณ์      จันขันศรี</t>
  </si>
  <si>
    <t>46</t>
  </si>
  <si>
    <t>ชยานันต์  จิรสินกุลโรจน์</t>
  </si>
  <si>
    <t>47</t>
  </si>
  <si>
    <t>ขวัญญานันท์  สมบูรณ์ไตรภพ</t>
  </si>
  <si>
    <t>48</t>
  </si>
  <si>
    <t>เจษฎาภรณ์  สร้อยจอม</t>
  </si>
  <si>
    <t>49</t>
  </si>
  <si>
    <t>สุวภัทร    คัมภีรพงษ์</t>
  </si>
  <si>
    <t>50</t>
  </si>
  <si>
    <t>พรอนันต์   ยอดจันทร์</t>
  </si>
  <si>
    <t>51</t>
  </si>
  <si>
    <t>ยิ่งลักษณ์    มูลสาร</t>
  </si>
  <si>
    <t>คณะเทคโนโลยีการเกษตรและอาหาร</t>
  </si>
  <si>
    <t>52</t>
  </si>
  <si>
    <t>เปรมนภา  สีโสภา</t>
  </si>
  <si>
    <t>53</t>
  </si>
  <si>
    <t>ดร.พรดรัล  จุลกัลป์</t>
  </si>
  <si>
    <t>54</t>
  </si>
  <si>
    <t>ดร.สุภาวดี  แหยมคง</t>
  </si>
  <si>
    <t>55</t>
  </si>
  <si>
    <t>คำรบ  สมะวรรธนะ</t>
  </si>
  <si>
    <t>56</t>
  </si>
  <si>
    <t>ธนพล  กิจพจน์</t>
  </si>
  <si>
    <t>57</t>
  </si>
  <si>
    <t>รัฏฐชัย  สายรวมญาติ</t>
  </si>
  <si>
    <t>58</t>
  </si>
  <si>
    <t>ดร.จักรกฤช  ศรีละออ</t>
  </si>
  <si>
    <t>59</t>
  </si>
  <si>
    <t>วรลักษณ์     สุริวงษ์</t>
  </si>
  <si>
    <t>60</t>
  </si>
  <si>
    <t>ดร.ณรกมล    เลาห์รอดพันธ์</t>
  </si>
  <si>
    <t>61</t>
  </si>
  <si>
    <t>จิราภรณ์      วงศ์สุวรรณ</t>
  </si>
  <si>
    <t>62</t>
  </si>
  <si>
    <t>ปุณเรศวร์     รัตนประดิษฐ์</t>
  </si>
  <si>
    <t>63</t>
  </si>
  <si>
    <t>ดร.หทัยทิพย์  ร้องคำ</t>
  </si>
  <si>
    <t>64</t>
  </si>
  <si>
    <t>ฐิตาภรณ์  แหวนเพชร</t>
  </si>
  <si>
    <t>คณะเทคโนโลยีอุตสาหกรรม</t>
  </si>
  <si>
    <t>65</t>
  </si>
  <si>
    <t>พันธุ์ธิดา  ลิ้มศรีประพันธ์</t>
  </si>
  <si>
    <t>66</t>
  </si>
  <si>
    <t>ณัฐธิดา  จงรักษ์</t>
  </si>
  <si>
    <t>67</t>
  </si>
  <si>
    <t>นริศรา  สุวิเชียร</t>
  </si>
  <si>
    <t>68</t>
  </si>
  <si>
    <t>อุษา  อินทร์ประสิทธิ์</t>
  </si>
  <si>
    <t>69</t>
  </si>
  <si>
    <t>เกียรติชัย  บรรลุผลสกุล</t>
  </si>
  <si>
    <t>70</t>
  </si>
  <si>
    <t>ดร.ปิยะพงษ์  โอฬารทิชาชาต</t>
  </si>
  <si>
    <t>71</t>
  </si>
  <si>
    <t>พรชัย  ปานทุ่ง</t>
  </si>
  <si>
    <t>72</t>
  </si>
  <si>
    <t>ยอดเพชร  ทองขาว</t>
  </si>
  <si>
    <t>73</t>
  </si>
  <si>
    <t>วชิระ  ลิ้มศรีประพันธ์</t>
  </si>
  <si>
    <t>74</t>
  </si>
  <si>
    <t>วัชรากร  ใจตรง</t>
  </si>
  <si>
    <t>75</t>
  </si>
  <si>
    <t>วิมล  ทองดอนกลิ้ง</t>
  </si>
  <si>
    <t>76</t>
  </si>
  <si>
    <t>วีรวุธ  เลพล</t>
  </si>
  <si>
    <t>77</t>
  </si>
  <si>
    <t>สัจจากาจ  จอมโนนเขวา</t>
  </si>
  <si>
    <t>78</t>
  </si>
  <si>
    <t>สิริเดช  กุลหิรัญบวร</t>
  </si>
  <si>
    <t>79</t>
  </si>
  <si>
    <t>สุรเชษฐ์  มิตสานนท์</t>
  </si>
  <si>
    <t>80</t>
  </si>
  <si>
    <t>อลงกรณ์  เมืองไหว</t>
  </si>
  <si>
    <t>81</t>
  </si>
  <si>
    <t>ดร.เอื้อบุญ  ที่พึ่ง</t>
  </si>
  <si>
    <t>82</t>
  </si>
  <si>
    <t>ทวีศักดิ์     ตันอร่าม</t>
  </si>
  <si>
    <t>83</t>
  </si>
  <si>
    <t>ธนิดา         โขนงนุช</t>
  </si>
  <si>
    <t>84</t>
  </si>
  <si>
    <t>สุรเชษฐ์  วรรณา</t>
  </si>
  <si>
    <t>85</t>
  </si>
  <si>
    <t>ศุจินธร  ทรงสิทธิเดช</t>
  </si>
  <si>
    <t>86</t>
  </si>
  <si>
    <t>มณฑล  ฟักเอม</t>
  </si>
  <si>
    <t>87</t>
  </si>
  <si>
    <t>ชาติชาย  จันทร์ประทีป</t>
  </si>
  <si>
    <t>88</t>
  </si>
  <si>
    <t>จิรา  ธรรมนิยม</t>
  </si>
  <si>
    <t>89</t>
  </si>
  <si>
    <t>ดร.ธาราทิพย์  ศรีสัตตบุตร</t>
  </si>
  <si>
    <t>90</t>
  </si>
  <si>
    <t>เอกภูมิ    บุญธรรม</t>
  </si>
  <si>
    <t>91</t>
  </si>
  <si>
    <t>ทิศากร  ไชยมงคล</t>
  </si>
  <si>
    <t>คณะมนุษยศาสตร์และสังคมศาสตร์</t>
  </si>
  <si>
    <t>92</t>
  </si>
  <si>
    <t>ดร.สุชาดา  เจียพงษ์</t>
  </si>
  <si>
    <t>93</t>
  </si>
  <si>
    <t>จุฑารัตน์  มณีวัลย์</t>
  </si>
  <si>
    <t>94</t>
  </si>
  <si>
    <t>โชติกา  เศรษฐธัญการ</t>
  </si>
  <si>
    <t>95</t>
  </si>
  <si>
    <t>ณริศรา  พฤกษะวัน</t>
  </si>
  <si>
    <t>96</t>
  </si>
  <si>
    <t>ณัฎฐิรา  ทับทิม</t>
  </si>
  <si>
    <t>97</t>
  </si>
  <si>
    <t>ดร.ทัศนีย์  ปัทมสนธิ์</t>
  </si>
  <si>
    <t>98</t>
  </si>
  <si>
    <t>ปทุมพร  บุญชุม</t>
  </si>
  <si>
    <t>99</t>
  </si>
  <si>
    <t>พัทชา  บุญยะรัตน์</t>
  </si>
  <si>
    <t>100</t>
  </si>
  <si>
    <t>พึงรัก  ริยะขัน</t>
  </si>
  <si>
    <t>101</t>
  </si>
  <si>
    <t>ภัทรพิมพ์  เส้งเสน</t>
  </si>
  <si>
    <t>102</t>
  </si>
  <si>
    <t>เภทรา  สิริสรรพ</t>
  </si>
  <si>
    <t>103</t>
  </si>
  <si>
    <t>วริยา  ด้วงน้อย</t>
  </si>
  <si>
    <t>104</t>
  </si>
  <si>
    <t>วาสินี  มีเครือเอี่ยม</t>
  </si>
  <si>
    <t>105</t>
  </si>
  <si>
    <t>สนทยา  สาลี</t>
  </si>
  <si>
    <t>106</t>
  </si>
  <si>
    <t>สุกัญญาโสภี  ใจกล่ำ</t>
  </si>
  <si>
    <t>107</t>
  </si>
  <si>
    <t>สุธัญญา  ปานทอง</t>
  </si>
  <si>
    <t>108</t>
  </si>
  <si>
    <t>สุพัตรา  พรมดำ</t>
  </si>
  <si>
    <t>109</t>
  </si>
  <si>
    <t>ดร.กมลภพ  ยอดบ่อพลับ</t>
  </si>
  <si>
    <t>110</t>
  </si>
  <si>
    <t>กล้าหาญ  พิมพ์ศรี</t>
  </si>
  <si>
    <t>111</t>
  </si>
  <si>
    <t>ดร.คุณากร  คงชนะ</t>
  </si>
  <si>
    <t>112</t>
  </si>
  <si>
    <t>ดร.โชติ  บดีรัฐ</t>
  </si>
  <si>
    <t>113</t>
  </si>
  <si>
    <t>พัฒนพันธ์  เขตต์กัน</t>
  </si>
  <si>
    <t>114</t>
  </si>
  <si>
    <t>ยศจรัส  ดือขุนทด</t>
  </si>
  <si>
    <t>115</t>
  </si>
  <si>
    <t>รณชัย  หมื่นวงศ์</t>
  </si>
  <si>
    <t>116</t>
  </si>
  <si>
    <t>ศุภชัย  ธีระกุล</t>
  </si>
  <si>
    <t>117</t>
  </si>
  <si>
    <t>อรรถพล  วงศ์ชัย</t>
  </si>
  <si>
    <t>118</t>
  </si>
  <si>
    <t>ปฐมพงษ์    สุขเล็ก</t>
  </si>
  <si>
    <t>119</t>
  </si>
  <si>
    <t>ณัฐกานต์   เส็งชื่น</t>
  </si>
  <si>
    <t>120</t>
  </si>
  <si>
    <t>วศิน  สุขสมบูรณ์วงศ์</t>
  </si>
  <si>
    <t>121</t>
  </si>
  <si>
    <t>พิมล  เกษมเสาวภาคย์</t>
  </si>
  <si>
    <t>122</t>
  </si>
  <si>
    <t>นฤมล  พุ่มเมือง</t>
  </si>
  <si>
    <t>123</t>
  </si>
  <si>
    <t>เมศิณี  ภัทรมุทธา</t>
  </si>
  <si>
    <t>124</t>
  </si>
  <si>
    <t>อุทาน  บุญเมือง</t>
  </si>
  <si>
    <t>125</t>
  </si>
  <si>
    <t>ธัญณ์ณภัทร์  เจริญพานิช</t>
  </si>
  <si>
    <t>126</t>
  </si>
  <si>
    <t>นภัส  จันทรวรชาต</t>
  </si>
  <si>
    <t>127</t>
  </si>
  <si>
    <t>รุ่งโรจน์  ฝ้ายเยื่อ</t>
  </si>
  <si>
    <t>128</t>
  </si>
  <si>
    <t>ดร.ธนัสถา  โรจนตระกูล</t>
  </si>
  <si>
    <t>129</t>
  </si>
  <si>
    <t>สุรศักดิ์     อุสาหะกานนท์</t>
  </si>
  <si>
    <t>130</t>
  </si>
  <si>
    <t>ดร.พิชญา  เหลืองรัตนเจริญ</t>
  </si>
  <si>
    <t>131</t>
  </si>
  <si>
    <t>ดร.กัมปนาท  วงษ์วัฒนพงษ์</t>
  </si>
  <si>
    <t>132</t>
  </si>
  <si>
    <t>ดร.ขวัญชนก  นัยจรัญ</t>
  </si>
  <si>
    <t>133</t>
  </si>
  <si>
    <t>ดร.กมลธรรม     เกื้อบุตร</t>
  </si>
  <si>
    <t>134</t>
  </si>
  <si>
    <t>อเนก    สุขดี</t>
  </si>
  <si>
    <t>135</t>
  </si>
  <si>
    <t>พนัส     มัตยะสุวรรณ</t>
  </si>
  <si>
    <t>136</t>
  </si>
  <si>
    <t>ดร.ลัสดา  ยาวิละ</t>
  </si>
  <si>
    <t>คณะวิทยาการจัดการ</t>
  </si>
  <si>
    <t>137</t>
  </si>
  <si>
    <t>อรนุช  สืบบุญ</t>
  </si>
  <si>
    <t>138</t>
  </si>
  <si>
    <t>อรวรรณ  ไพโรจนวุฒิพงศ์</t>
  </si>
  <si>
    <t>139</t>
  </si>
  <si>
    <t>กมลทิพย์  เดชะปรากรม</t>
  </si>
  <si>
    <t>140</t>
  </si>
  <si>
    <t>กุลกนิษฐ์  ใจดี</t>
  </si>
  <si>
    <t>141</t>
  </si>
  <si>
    <t>จงกล  เพชรสุข</t>
  </si>
  <si>
    <t>142</t>
  </si>
  <si>
    <t>ดร.ธัมมะทินนา  ศรีสุพรรณ</t>
  </si>
  <si>
    <t>143</t>
  </si>
  <si>
    <t>นฤมล  พิษณุวรานนท์</t>
  </si>
  <si>
    <t>144</t>
  </si>
  <si>
    <t>ปิยธิดา  เปี่ยมงาม</t>
  </si>
  <si>
    <t>145</t>
  </si>
  <si>
    <t>พิชญาพร  ประครองใจ</t>
  </si>
  <si>
    <t>146</t>
  </si>
  <si>
    <t>พิณรัตน์  นุชโพธิ์</t>
  </si>
  <si>
    <t>147</t>
  </si>
  <si>
    <t>ดร.รัตนา  สิทธิอ่วม</t>
  </si>
  <si>
    <t>148</t>
  </si>
  <si>
    <t>วนัชพร  จันทรักษา</t>
  </si>
  <si>
    <t>149</t>
  </si>
  <si>
    <t>สุธีรา  วิไลกุล</t>
  </si>
  <si>
    <t>150</t>
  </si>
  <si>
    <t>อรุณี  นุสิทธิ์</t>
  </si>
  <si>
    <t>151</t>
  </si>
  <si>
    <t>ปรัชญา  โพธิหัง</t>
  </si>
  <si>
    <t>152</t>
  </si>
  <si>
    <t>ผณินทร  เสือแพร</t>
  </si>
  <si>
    <t>153</t>
  </si>
  <si>
    <t>พงษ์พันธุ์  พุทธิวิศิษฎ์</t>
  </si>
  <si>
    <t>154</t>
  </si>
  <si>
    <t>วุฒิชัย  สหัสเตโช</t>
  </si>
  <si>
    <t>155</t>
  </si>
  <si>
    <t>สิขรินทร์  คงสง</t>
  </si>
  <si>
    <t>156</t>
  </si>
  <si>
    <t>รัชฎาภรณ์  พัฒนะ</t>
  </si>
  <si>
    <t>157</t>
  </si>
  <si>
    <t>ธิดารัตน์  วุฒิศรีเสถียรกุล</t>
  </si>
  <si>
    <t>158</t>
  </si>
  <si>
    <t>อรรธพร  เลิศอร่ามแสง</t>
  </si>
  <si>
    <t>159</t>
  </si>
  <si>
    <t>พัชญ์ธนัน  ศิริกิจเสถียร</t>
  </si>
  <si>
    <t>160</t>
  </si>
  <si>
    <t>ณภัทร  วุฒธะพันธ์</t>
  </si>
  <si>
    <t>161</t>
  </si>
  <si>
    <t>ภัทรสิริ  ทิพย์ธนมณี</t>
  </si>
  <si>
    <t>162</t>
  </si>
  <si>
    <t>อรรถพล  จรจันทร์</t>
  </si>
  <si>
    <t>163</t>
  </si>
  <si>
    <t>ศุภศิว์     สุวรรณเกษร</t>
  </si>
  <si>
    <t>164</t>
  </si>
  <si>
    <t>เอกรงค์   ปั้นพงษ์</t>
  </si>
  <si>
    <t>165</t>
  </si>
  <si>
    <t>ยรรยงวรกร  ทองแย้ม</t>
  </si>
  <si>
    <t>166</t>
  </si>
  <si>
    <t>ดร.ธานินทร์     ไชยเยชน์</t>
  </si>
  <si>
    <t>167</t>
  </si>
  <si>
    <t>ดร.กาญจนา  ธนนพคุณ</t>
  </si>
  <si>
    <t>คณะวิทยาศาสตร์และเทคโนโลยี</t>
  </si>
  <si>
    <t>168</t>
  </si>
  <si>
    <t>ดร.กาญจนา  วงศ์กระจ่าง</t>
  </si>
  <si>
    <t>169</t>
  </si>
  <si>
    <t>ดร.กุลวดี  ปิ่นวัฒนะ</t>
  </si>
  <si>
    <t>170</t>
  </si>
  <si>
    <t>จิราพัทธ์  แก้วศรีทอง</t>
  </si>
  <si>
    <t>171</t>
  </si>
  <si>
    <t>ดร.นพรัตน์  วรรณเทศ</t>
  </si>
  <si>
    <t>172</t>
  </si>
  <si>
    <t>ดร.นววรรณ  ทองมี</t>
  </si>
  <si>
    <t>173</t>
  </si>
  <si>
    <t>ดร.ปิยะดา  วชิระวงศกร</t>
  </si>
  <si>
    <t>174</t>
  </si>
  <si>
    <t>ผกาวดี  เอี่ยมกำแพง</t>
  </si>
  <si>
    <t>175</t>
  </si>
  <si>
    <t>พดารัตน์  นิลเจียรนัย</t>
  </si>
  <si>
    <t>176</t>
  </si>
  <si>
    <t>ภัคกร  ปานโพธิ์</t>
  </si>
  <si>
    <t>177</t>
  </si>
  <si>
    <t>ภาวินี  อินทร์ทอง</t>
  </si>
  <si>
    <t>178</t>
  </si>
  <si>
    <t>ดร.ยุวดี  ตรงต่อกิจ</t>
  </si>
  <si>
    <t>179</t>
  </si>
  <si>
    <t>ดร.รำไพ  โกฎสืบ</t>
  </si>
  <si>
    <t>180</t>
  </si>
  <si>
    <t>วิภาดา  ศรีเจริญ</t>
  </si>
  <si>
    <t>181</t>
  </si>
  <si>
    <t>ศุภนิช  เจริญสุข</t>
  </si>
  <si>
    <t>182</t>
  </si>
  <si>
    <t>ดร.สุพัตรา  เจริญภักดี</t>
  </si>
  <si>
    <t>183</t>
  </si>
  <si>
    <t>ดร.อรชร  ฉิมจารย์</t>
  </si>
  <si>
    <t>184</t>
  </si>
  <si>
    <t>อรอุมา  พร้าโมต</t>
  </si>
  <si>
    <t>185</t>
  </si>
  <si>
    <t>อัญชนา  ปรีชาวรพันธ์</t>
  </si>
  <si>
    <t>186</t>
  </si>
  <si>
    <t xml:space="preserve">อาจารย์  </t>
  </si>
  <si>
    <t>อุไรวรรณ  บุญคง</t>
  </si>
  <si>
    <t>187</t>
  </si>
  <si>
    <t>กษมะ  ดุรงค์ศักดิ์</t>
  </si>
  <si>
    <t>188</t>
  </si>
  <si>
    <t>ไกรลาส  มาตรมูล</t>
  </si>
  <si>
    <t>189</t>
  </si>
  <si>
    <t>ชุติพนธ์    ศรีสวัสดิ์</t>
  </si>
  <si>
    <t>190</t>
  </si>
  <si>
    <t>ธนวัตร์  คล้ายแท้</t>
  </si>
  <si>
    <t>191</t>
  </si>
  <si>
    <t>ธัชคณิน  จงจิตวิมล</t>
  </si>
  <si>
    <t>192</t>
  </si>
  <si>
    <t>ปณิธาน  สุระยศ</t>
  </si>
  <si>
    <t>193</t>
  </si>
  <si>
    <t>ไพโรจน์  เยียระยง</t>
  </si>
  <si>
    <t>194</t>
  </si>
  <si>
    <t>ภวัต  ฉิมเล็ก</t>
  </si>
  <si>
    <t>195</t>
  </si>
  <si>
    <t>ดร.วสุ  พันไพศาล</t>
  </si>
  <si>
    <t>196</t>
  </si>
  <si>
    <t>วิโรจน์  ติ๊กจ๊ะ</t>
  </si>
  <si>
    <t>197</t>
  </si>
  <si>
    <t>วิษณุ  ธงไชย</t>
  </si>
  <si>
    <t>198</t>
  </si>
  <si>
    <t>ศุภชัย  คนเที่ยง</t>
  </si>
  <si>
    <t>199</t>
  </si>
  <si>
    <t>พงษ์พิชญ์   เลิศเจริญวุฒา</t>
  </si>
  <si>
    <t>200</t>
  </si>
  <si>
    <t>อรรถพล  ภูมิลา</t>
  </si>
  <si>
    <t>201</t>
  </si>
  <si>
    <t>เอกภพ  จันทร์สุคนธ์</t>
  </si>
  <si>
    <t>202</t>
  </si>
  <si>
    <t xml:space="preserve">อาจารย์ </t>
  </si>
  <si>
    <t>ดร. ปฏิพันธ์  นันทขว้าง</t>
  </si>
  <si>
    <t>203</t>
  </si>
  <si>
    <t>ดร.พิสิษฐ์    พูลประเสริฐ</t>
  </si>
  <si>
    <t>204</t>
  </si>
  <si>
    <t>ดร.เรืองวุฒิ       ชุติมา</t>
  </si>
  <si>
    <t>205</t>
  </si>
  <si>
    <t>ดร.นิธิพงศ์    ศรีเบญจมาศ</t>
  </si>
  <si>
    <t>206</t>
  </si>
  <si>
    <t>ดร.จิตศิริน      ลายลักษณ์</t>
  </si>
  <si>
    <t>207</t>
  </si>
  <si>
    <t>ดร.รพิพรรณ     จันทร์มะณี</t>
  </si>
  <si>
    <t>208</t>
  </si>
  <si>
    <t>ไพฑูรย์        งิ้วทั่ง</t>
  </si>
  <si>
    <t>209</t>
  </si>
  <si>
    <t>ดร.วรรณพร    สุริยะกาศ</t>
  </si>
  <si>
    <t>210</t>
  </si>
  <si>
    <t>ดร.ณัฎฐินี      ดีแท้</t>
  </si>
  <si>
    <t>211</t>
  </si>
  <si>
    <t>ดร.จิตติพร     ตังควิเวชกุล</t>
  </si>
  <si>
    <t>212</t>
  </si>
  <si>
    <t>ดร.วิสูตร       จันทร์อิฐ</t>
  </si>
  <si>
    <t>213</t>
  </si>
  <si>
    <t>ดร.ศิริพร       ศิริอังคณากุล</t>
  </si>
  <si>
    <t>214</t>
  </si>
  <si>
    <t>ดร.ศรัญญา        ทองสุข</t>
  </si>
  <si>
    <t>215</t>
  </si>
  <si>
    <t>รศ.ดร.</t>
  </si>
  <si>
    <t>ยุพร        ริมชลการ</t>
  </si>
  <si>
    <t>216</t>
  </si>
  <si>
    <t>ดร.ยุทธศักดิ์    แช่มมุ่ย</t>
  </si>
  <si>
    <t>217</t>
  </si>
  <si>
    <t>ดร.มนตรา      ศรีษะแย้ม</t>
  </si>
  <si>
    <t>218</t>
  </si>
  <si>
    <t>ดร.ชนิกาญจน์  จันทร์มาทอง</t>
  </si>
  <si>
    <t>219</t>
  </si>
  <si>
    <t>ดร.กฤษ    สุจริตตั้งธรรม</t>
  </si>
  <si>
    <t>220</t>
  </si>
  <si>
    <t>ดร.วราภรณ์  น้อยโขง</t>
  </si>
  <si>
    <t>221</t>
  </si>
  <si>
    <t>สุวิมล    ทองแกมแก้ว</t>
  </si>
  <si>
    <t>222</t>
  </si>
  <si>
    <r>
      <t>ดร.รัตน์ติพร    สำอางค์</t>
    </r>
    <r>
      <rPr>
        <sz val="16"/>
        <color indexed="9"/>
        <rFont val="TH SarabunPSK"/>
        <family val="2"/>
      </rPr>
      <t>ก</t>
    </r>
  </si>
  <si>
    <t>223</t>
  </si>
  <si>
    <t>อรรถพล   รอดแก้ว</t>
  </si>
  <si>
    <t>224</t>
  </si>
  <si>
    <t>พิมรินทร์   คีรินทร์</t>
  </si>
  <si>
    <t>225</t>
  </si>
  <si>
    <t>พิชิตชัย    ปิมแปง</t>
  </si>
  <si>
    <t>226</t>
  </si>
  <si>
    <t>ธงรบ      อักษร</t>
  </si>
  <si>
    <t>227</t>
  </si>
  <si>
    <t>อภิสิทธิ์    เจริญสุข</t>
  </si>
  <si>
    <t>นาง</t>
  </si>
  <si>
    <t>วนัสนันท์  พรมพุก</t>
  </si>
  <si>
    <t>นักวิชาการเงินและบัญชี</t>
  </si>
  <si>
    <t>กองคลัง</t>
  </si>
  <si>
    <t>ศิริรัตน์  วาทมธุรส</t>
  </si>
  <si>
    <t>นางสาว</t>
  </si>
  <si>
    <t>ธนัญภรณ์  สอนพูน</t>
  </si>
  <si>
    <t>นิตยา  พ่วงหงษ์</t>
  </si>
  <si>
    <t>สาวิตรี  ดีดน้อย</t>
  </si>
  <si>
    <t>สุนิสา  รุ่งเรือง</t>
  </si>
  <si>
    <t>นาย</t>
  </si>
  <si>
    <t>ฐิติพงศ์  ขวัญคง</t>
  </si>
  <si>
    <t>นักวิชาการคอมพิวเตอร์</t>
  </si>
  <si>
    <t>จิราภรณ์  สัมปุรณะพันธ์</t>
  </si>
  <si>
    <t>นักวิชาการพัสดุ</t>
  </si>
  <si>
    <t>พิมพ์พิชญาณ์  โฉมสุข</t>
  </si>
  <si>
    <t>วารุณี  แก้วกิ่งจันทร์</t>
  </si>
  <si>
    <t>วิวรรธนี  สังข์ทอง</t>
  </si>
  <si>
    <t>เจ้าหน้าที่บริหารงานทั่วไป</t>
  </si>
  <si>
    <t>วิสุทธิ์  อินกำแพง</t>
  </si>
  <si>
    <t>ช่างเขียนแบบ</t>
  </si>
  <si>
    <t>กองกลาง</t>
  </si>
  <si>
    <t>อนุสรณ์  คงแก้ว</t>
  </si>
  <si>
    <t>ช่างไฟฟ้า</t>
  </si>
  <si>
    <t>อภิชนา  นิลกำแหง</t>
  </si>
  <si>
    <t xml:space="preserve">กองกลาง  </t>
  </si>
  <si>
    <t>สรัญญา  บุญจันทร์</t>
  </si>
  <si>
    <t>นิธิศ  ปรุงศักดิ์</t>
  </si>
  <si>
    <t>นักประชาสัมพันธ์</t>
  </si>
  <si>
    <t>จิรัชยา  สูงตรง</t>
  </si>
  <si>
    <t>อนาวิล  เรือนวงค์</t>
  </si>
  <si>
    <t>อภิสินี  เกรียงศักดิ์ศรี</t>
  </si>
  <si>
    <t>ธนียา  คำปิน</t>
  </si>
  <si>
    <t>จันทิมา  จำปาเป็น</t>
  </si>
  <si>
    <t xml:space="preserve">กองกลาง </t>
  </si>
  <si>
    <t>พิทูร  ประดิษฐ์สิทธิกร</t>
  </si>
  <si>
    <t>วิศวกรโยธา</t>
  </si>
  <si>
    <t>สันติราช    อยู่เพชร</t>
  </si>
  <si>
    <t>นักวิชาการโสตทัศนศึกษา</t>
  </si>
  <si>
    <t>สิริภัทร  ขำจุ้ย</t>
  </si>
  <si>
    <t>โชติกา  ส้มส้า</t>
  </si>
  <si>
    <t>พรรณภัทรา  สุดแสง</t>
  </si>
  <si>
    <t>นภัสกร  ละลอกแก้ว</t>
  </si>
  <si>
    <t>ปวริศา   เกษมสุข</t>
  </si>
  <si>
    <t>ศุภกร    ศรีสุวรรณ</t>
  </si>
  <si>
    <t>ชัชฎาพันธ์  อยู่เพชร</t>
  </si>
  <si>
    <t>นักวิเคราะห์นโยบายและแผน</t>
  </si>
  <si>
    <t>กองนโยบายและแผน</t>
  </si>
  <si>
    <t>วรรณวลี  ไตรธรรม</t>
  </si>
  <si>
    <t>โกสุมภ์  ทิมวัฒนา</t>
  </si>
  <si>
    <t>จารุพักตร์  จันทะวง</t>
  </si>
  <si>
    <t>ลัดดา  ปิ่นสกุล</t>
  </si>
  <si>
    <t>นักวิเทศสัมพันธ์</t>
  </si>
  <si>
    <t>โครงการจัดตั้งสถาบันนานาชาติ</t>
  </si>
  <si>
    <t>สินี  ยิ้มน่วม</t>
  </si>
  <si>
    <t>สุกนกานต์  สันติสุวรรณ</t>
  </si>
  <si>
    <t>สุรชัย  เกตุนิล</t>
  </si>
  <si>
    <t>ปราณี  บำเพ็ญดี</t>
  </si>
  <si>
    <t>มยุรี    กมลวรเดช</t>
  </si>
  <si>
    <t>จิราภรณ์  อินทะสมบัติ</t>
  </si>
  <si>
    <t>นักวิชาการศึกษา</t>
  </si>
  <si>
    <t>กองบริการการศึกษา</t>
  </si>
  <si>
    <t>สาวิตรี  ขาวสะอาด</t>
  </si>
  <si>
    <t>อัมพร  สัตย์ประกอบ</t>
  </si>
  <si>
    <t>นุสรา  บ้านใหม่</t>
  </si>
  <si>
    <t>เพ็ญพักตร์  ราวิล</t>
  </si>
  <si>
    <t>สุธาสินี  เถาสุวรรณ์</t>
  </si>
  <si>
    <t>กรวรรณ  ขจีจิต</t>
  </si>
  <si>
    <t>วรางคณาน์  ทุ่งโพธิแดง</t>
  </si>
  <si>
    <t>จารุวรรณ   ชัญญะพิเชฏฐ์</t>
  </si>
  <si>
    <t>นิตยา  กะหมาย</t>
  </si>
  <si>
    <t>บุคลากร</t>
  </si>
  <si>
    <t>กองบริหารงานบุคคล</t>
  </si>
  <si>
    <t>อัมรินทร์  ศิริชัย</t>
  </si>
  <si>
    <t>ชลธิชา  คล้ายสอน</t>
  </si>
  <si>
    <t>นาตยา  หวาเกตุ</t>
  </si>
  <si>
    <t>แก้วกาญจน์  แก้วดิษฐ์</t>
  </si>
  <si>
    <t>อัจจิมา  มาตราเงิน</t>
  </si>
  <si>
    <t>นิติกร</t>
  </si>
  <si>
    <t>มนต์นิรันดร์  ประสิทธิผล</t>
  </si>
  <si>
    <t>ฉันทนา    เอี่ยมวชิรากุล</t>
  </si>
  <si>
    <t>กฤษณา  บุญมัติ</t>
  </si>
  <si>
    <t>พนิดา  ดวงสมร</t>
  </si>
  <si>
    <t>กองพัฒนานักศึกษา</t>
  </si>
  <si>
    <t>ลักขณา  ไม้กร่าง</t>
  </si>
  <si>
    <t>ศิวาพร  สุขชัย</t>
  </si>
  <si>
    <t>ขนิษฐา  อิ่มสุวรรณ</t>
  </si>
  <si>
    <t>วรมน  สวัสดิสาร</t>
  </si>
  <si>
    <t>สิริลักษณ์  วงศ์ประสิทธิ์</t>
  </si>
  <si>
    <t>นักแนะแนวการศึกษาและอาชีพ</t>
  </si>
  <si>
    <t>อารีย์  วงเขียว</t>
  </si>
  <si>
    <t>วันวิสาข์  สรรพรอด</t>
  </si>
  <si>
    <t>ภาวิณี    สงวนรัตน์</t>
  </si>
  <si>
    <t>พนาวัน  เปรมศรี</t>
  </si>
  <si>
    <t>รักษิตา  ดีอ่ำ</t>
  </si>
  <si>
    <t>วรกมล  นาชอน</t>
  </si>
  <si>
    <t>สาวิตรี   ดีธงทอง</t>
  </si>
  <si>
    <t>เจ้าหนาที่บริหารงานทั่วไป</t>
  </si>
  <si>
    <t>ภิญญาพัชญ์  กล้าการค้า</t>
  </si>
  <si>
    <t>กิ่งกาญจน์  พรมมาพงษ์</t>
  </si>
  <si>
    <t>ศูนย์เทคโนโลยีสารสนเทศ</t>
  </si>
  <si>
    <t>นิตยา  ปิ่นแก้ว</t>
  </si>
  <si>
    <t>ชนิศวรา  ชูสนิท</t>
  </si>
  <si>
    <t>เชษฐลักษณ์  กลิ่นมาลี</t>
  </si>
  <si>
    <t>เสกสรรค์  ศิวิลัย</t>
  </si>
  <si>
    <t>วิวัฒน์  เจษฎาภรณ์พิพัฒน์</t>
  </si>
  <si>
    <t>ปณิธาร  บัวเผื่อน</t>
  </si>
  <si>
    <t>โสภณ    พินิจกิจเจริญกุล</t>
  </si>
  <si>
    <t>อัญชลี    เล็กประดิษฐ์</t>
  </si>
  <si>
    <t>วรรณา  แก้วเขียวเหลือง</t>
  </si>
  <si>
    <t>กองมาตรฐานวิชาการ และประกันคุณภาพการศึกษา</t>
  </si>
  <si>
    <t>นิภา  ชื่นทองมอญ</t>
  </si>
  <si>
    <t>นันท์นภัส   สุ่มยง</t>
  </si>
  <si>
    <t>กฤตณัฐ  สัตยสุนทร</t>
  </si>
  <si>
    <t>ลูกขวัญ  อินทร์คล้าย</t>
  </si>
  <si>
    <t>หยกฟ้า  ขำปลื้มจิต</t>
  </si>
  <si>
    <t>กองส่งเสริมและพัฒนาความเป็นเลิศด้านกีฬา</t>
  </si>
  <si>
    <t>อนิรุทธ์  ชัยเสวก</t>
  </si>
  <si>
    <t>พีระพัฒน์  ประภาสโนบล</t>
  </si>
  <si>
    <t>จันทร์นภา  ศรีกูลกิจ</t>
  </si>
  <si>
    <t>นฤมล  สุขชื่น</t>
  </si>
  <si>
    <t>บังอร  ฉิมอ่อง</t>
  </si>
  <si>
    <t>ธนณาถ อินตาติ๊บ</t>
  </si>
  <si>
    <t>นพัชษภรณ์  สิงห์น้อย</t>
  </si>
  <si>
    <t>ลลิดา  ทองคำพงษ์</t>
  </si>
  <si>
    <t>ศรุตา  แสงเงิน</t>
  </si>
  <si>
    <t>กรวิกา  มณีวัลย์</t>
  </si>
  <si>
    <t>คณะครุศาสตร์  ศูนย์การศึกษาพิเศษ</t>
  </si>
  <si>
    <t>สุนิภา   โพธิ์สิงห์</t>
  </si>
  <si>
    <t>ครู</t>
  </si>
  <si>
    <t>ดวงกมล  โตมิ</t>
  </si>
  <si>
    <t>นักวิทยาศาสตร์</t>
  </si>
  <si>
    <t>กรวรรณ  ทองสอน</t>
  </si>
  <si>
    <t>จีราพร  น่วมนุช</t>
  </si>
  <si>
    <t>ธเนศ  ทองทุ่ง</t>
  </si>
  <si>
    <t>อดิศักดิ์  แก้วกองทรัพย์</t>
  </si>
  <si>
    <t>สุกัญยา  แตงโม</t>
  </si>
  <si>
    <t>นักวิชาการสัตวบาล</t>
  </si>
  <si>
    <t>เขมจิรา  บุญเลิศ</t>
  </si>
  <si>
    <t>เขมชาติ  เอี่ยมอ่อน</t>
  </si>
  <si>
    <t>นักวิชาการเกษตร</t>
  </si>
  <si>
    <t>นิรุตติ์  ทาอ่อน</t>
  </si>
  <si>
    <t>พรพนม   นันทะเสน</t>
  </si>
  <si>
    <t>จิตฒ์ศยา  ทองประจักร</t>
  </si>
  <si>
    <t>ญาดา  ไกรกิจราษฎร์</t>
  </si>
  <si>
    <t>วันเพ็ญ  ศรีบุญมาก</t>
  </si>
  <si>
    <t>อริศรา  นุชเปรม</t>
  </si>
  <si>
    <t>วิชิต  เหล็กคำ</t>
  </si>
  <si>
    <t>สุวัตร  ชยานันท์</t>
  </si>
  <si>
    <t>กฤษณะ  กลิ่นดี</t>
  </si>
  <si>
    <t>สมเจตน์  ทองดี</t>
  </si>
  <si>
    <t>สุนิสา  เพ็ชรพูล</t>
  </si>
  <si>
    <t>หนึ่งฤทัย  ศรีสุกใส</t>
  </si>
  <si>
    <t>ทนงศักดิ์  ท่าโพธิ์</t>
  </si>
  <si>
    <t>สัญญา  ปานแย้ม</t>
  </si>
  <si>
    <t>วลันลักษณ์ สัตย์ประกอบ</t>
  </si>
  <si>
    <t>ยุพิน  โพธิ์ทอง</t>
  </si>
  <si>
    <t>มาริน  จันทรวงค์</t>
  </si>
  <si>
    <t>กมลรัตน์  บุญอาจ</t>
  </si>
  <si>
    <t>ภคินี  ดิบทิพย์</t>
  </si>
  <si>
    <t>สุรีย์พร  แก้วหล่อ</t>
  </si>
  <si>
    <t>หนึ่งฤทัย  ล้อมผล</t>
  </si>
  <si>
    <t xml:space="preserve">ว่าที่ </t>
  </si>
  <si>
    <t>ร.ต.หญิง วราภรณ์  จันทะศร</t>
  </si>
  <si>
    <t>ณัฐกานต์  ขุนทองนุ่ม</t>
  </si>
  <si>
    <t>กัญญาวีร์  สมนึก</t>
  </si>
  <si>
    <t>วันเพ็ญ  ตรงต่อกิจ</t>
  </si>
  <si>
    <t>สมควร  คำลือ</t>
  </si>
  <si>
    <t>มาลินี  เห็มลา</t>
  </si>
  <si>
    <t>ศิริรัตน์  พันธ์เรือง</t>
  </si>
  <si>
    <t>สุกัญญา  สมุทรเขตร์</t>
  </si>
  <si>
    <t>เชาวลิต  พึ่งแตง</t>
  </si>
  <si>
    <t>ณัฐชานนท์  ดอนเขียวไพร</t>
  </si>
  <si>
    <t>วีระ  นาคผู้</t>
  </si>
  <si>
    <t>วีระศักดิ์  ทองอ่อน</t>
  </si>
  <si>
    <t>จักกฤษ  จันทวงษ์</t>
  </si>
  <si>
    <t>จามจุรี  อินต๊ะกัน</t>
  </si>
  <si>
    <t>เพ็ญนภา  ทองน้อย</t>
  </si>
  <si>
    <t>สุพัตรา  เอี่ยมนาค</t>
  </si>
  <si>
    <t>ตรีรัตน์  พิทักษ์สืบสกุล</t>
  </si>
  <si>
    <t>สุสิตรา  สิงโสม</t>
  </si>
  <si>
    <t>นักวิชาการโภชนาการ</t>
  </si>
  <si>
    <t>วนิดา  ตรีพรหม</t>
  </si>
  <si>
    <t>บัณฑิตวิทยาลัย</t>
  </si>
  <si>
    <t>ธรรมสาคร  รุ่งนิมิตร</t>
  </si>
  <si>
    <t>วนิดา  กลิ่นใจ</t>
  </si>
  <si>
    <t>คัมภีวัฒน์   คำถาเครือ</t>
  </si>
  <si>
    <t>วิกาญดา  บุญคง</t>
  </si>
  <si>
    <t>บรรณารักษ์</t>
  </si>
  <si>
    <t>สำนักวิทยบริการและเทคโนโลยีสารสนเทศ</t>
  </si>
  <si>
    <t>อัมรินทร์  แก้วกองทรัพย์</t>
  </si>
  <si>
    <t>พรวรีย์  ทองกลึง</t>
  </si>
  <si>
    <t>รัตนพา  พันธ์ศรี</t>
  </si>
  <si>
    <t>หทัยชนก  สว่างวงศ์</t>
  </si>
  <si>
    <t>อมรรัตน์  ศรีละออ</t>
  </si>
  <si>
    <t>อัจฉราพร  แย้มเหม็น</t>
  </si>
  <si>
    <t>คม  กันชูลี</t>
  </si>
  <si>
    <t>นักเอกสารสนเทศ</t>
  </si>
  <si>
    <t>เจริญชัย  พันธ์ศรี</t>
  </si>
  <si>
    <t>มนต์ชัย สุริยามาตร</t>
  </si>
  <si>
    <t>จิตตรี  จันทร์แย้มสงค์</t>
  </si>
  <si>
    <t>สำนักศิลปะและวัฒนธรรม</t>
  </si>
  <si>
    <t>ณิชนันทน์    ศิริไสยาสน์</t>
  </si>
  <si>
    <t>ธัญญพร  มาบวบ</t>
  </si>
  <si>
    <t>เบญจพร  บุญศิริรุ่งเรือง</t>
  </si>
  <si>
    <t>วรินทร  พลขัน</t>
  </si>
  <si>
    <t>ศรีสองรัก   สารีสังข์</t>
  </si>
  <si>
    <t>วัชรี  ปัญญาวงศ์</t>
  </si>
  <si>
    <t>จิตรา  มีคำ</t>
  </si>
  <si>
    <t>สถาบันวิจัยและพัฒนา</t>
  </si>
  <si>
    <t>สามารถ  เน่าบู่</t>
  </si>
  <si>
    <t>พัทธนันท์  โกธรรม</t>
  </si>
  <si>
    <t>ปิยวดี      น้อยน้ำใส</t>
  </si>
  <si>
    <t>อรพนิตา   จรัสธนวรพัฒน์</t>
  </si>
  <si>
    <t>พจนีย์  รุ่งเรือง</t>
  </si>
  <si>
    <t>นักตรวจสอบภายใน</t>
  </si>
  <si>
    <t>งานตรวจสอบภายใน</t>
  </si>
  <si>
    <t>ภิญญดา  พ่วงเฟื่อง</t>
  </si>
  <si>
    <t>สุกัลยา  ประสิทธิผล</t>
  </si>
  <si>
    <t>ทะเบียนคุมเบิกเงินสวัสดิการค่ารักษาพยาบาลสำหรับพนักงานมหาวิทยาลัย</t>
  </si>
  <si>
    <t>ประจำเดือน</t>
  </si>
  <si>
    <t>รวมเบิกทั้งสิ้น</t>
  </si>
  <si>
    <t>(บาท)</t>
  </si>
  <si>
    <t>รวมเบิกจ่ายทั้งสิ้น</t>
  </si>
  <si>
    <t>คงเหลือเบิก</t>
  </si>
  <si>
    <t>วิยะดา  สุเมธเทพานันท์</t>
  </si>
  <si>
    <t>ประจำปีงบประมาณ 2559</t>
  </si>
  <si>
    <t>วงเงินไม่เกินคนละ 6,000 บาท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</si>
  <si>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</si>
  <si>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</si>
  <si>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</si>
  <si>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</si>
  <si>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</si>
  <si>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</si>
  <si>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</si>
  <si>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</si>
  <si>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</si>
  <si>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</si>
  <si>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</si>
  <si>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</si>
  <si>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</si>
  <si>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</si>
  <si>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</si>
  <si>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</si>
  <si>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</si>
  <si>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</si>
  <si>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</si>
  <si>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</si>
  <si>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</si>
  <si>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</si>
  <si>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</si>
  <si>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</si>
  <si>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</si>
  <si>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</si>
  <si>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</si>
  <si>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</si>
  <si>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</si>
  <si>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</si>
  <si>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</si>
  <si>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</si>
  <si>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</si>
  <si>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</si>
  <si>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</si>
  <si>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</si>
  <si>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</si>
  <si>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</si>
  <si>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</si>
  <si>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</si>
  <si>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</si>
  <si>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</si>
  <si>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</si>
  <si>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</si>
  <si>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</si>
  <si>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</si>
  <si>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</si>
  <si>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</si>
  <si>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</si>
  <si>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</si>
  <si>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</si>
  <si>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</si>
  <si>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</si>
  <si>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</si>
  <si>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</si>
  <si>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</si>
  <si>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</si>
  <si>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</si>
  <si>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</si>
  <si>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</si>
  <si>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</si>
  <si>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</si>
  <si>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</si>
  <si>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</si>
  <si>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</si>
  <si>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</si>
  <si>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</si>
  <si>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</si>
  <si>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</si>
  <si>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</si>
  <si>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</si>
  <si>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</si>
  <si>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</si>
  <si>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</si>
  <si>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</si>
  <si>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</si>
  <si>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</si>
  <si>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</si>
  <si>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</si>
  <si>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</si>
  <si>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</si>
  <si>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</si>
  <si>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</si>
  <si>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</si>
  <si>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</si>
  <si>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</si>
  <si>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</si>
  <si>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</si>
  <si>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</si>
  <si>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</si>
  <si>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</si>
  <si>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</si>
  <si>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</si>
  <si>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</si>
  <si>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</si>
  <si>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</si>
  <si>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</si>
  <si>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</si>
  <si>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</si>
  <si>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</si>
  <si>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</si>
  <si>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</si>
  <si>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</si>
  <si>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</si>
  <si>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</si>
  <si>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</si>
  <si>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</si>
  <si>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</si>
  <si>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</si>
  <si>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</si>
  <si>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</si>
  <si>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</si>
  <si>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</si>
  <si>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</si>
  <si>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</si>
  <si>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</si>
  <si>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</si>
  <si>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</si>
  <si>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</si>
  <si>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</si>
  <si>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</si>
  <si>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</si>
  <si>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</si>
  <si>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</si>
  <si>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</si>
  <si>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</si>
  <si>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</si>
  <si>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</si>
  <si>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</si>
  <si>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</si>
  <si>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</si>
  <si>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</si>
  <si>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</si>
  <si>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</si>
  <si>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</si>
  <si>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</si>
  <si>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</si>
  <si>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</si>
  <si>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</si>
  <si>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</si>
  <si>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</si>
  <si>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</si>
  <si>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</si>
  <si>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</si>
  <si>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</si>
  <si>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</si>
  <si>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</si>
  <si>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</si>
  <si>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</si>
  <si>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</si>
  <si>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</si>
  <si>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</si>
  <si>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</si>
  <si>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</si>
  <si>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</si>
  <si>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</si>
  <si>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</si>
  <si>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</si>
  <si>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</si>
  <si>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</si>
  <si>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</si>
  <si>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</si>
  <si>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</si>
  <si>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</si>
  <si>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</si>
  <si>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</si>
  <si>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</si>
  <si>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</si>
  <si>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</si>
  <si>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</si>
  <si>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</si>
  <si>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</si>
  <si>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</si>
  <si>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นางอุไรวรรณ  จิตต์บุรุษ</t>
  </si>
  <si>
    <t>หมายเหตุ</t>
  </si>
  <si>
    <t>กฤษณา  คล้ายอ่ำ</t>
  </si>
  <si>
    <t>ลาออก</t>
  </si>
  <si>
    <t>เพ็ญศรี  คำกลิ่น</t>
  </si>
  <si>
    <t>ภรภัทร  สำอาง</t>
  </si>
  <si>
    <t>นางพรรณภัทรา  กองจันทร์</t>
  </si>
  <si>
    <t>มณีจันทร์  มาสูตร</t>
  </si>
  <si>
    <t>สุภาวดี  น้อยน้ำใส</t>
  </si>
  <si>
    <t>ดนชนก  เบื่อน้อย</t>
  </si>
  <si>
    <t>gi</t>
  </si>
  <si>
    <t>ดร.สุพัตรา บดีรัฐ</t>
  </si>
  <si>
    <t>ภูวเดช  วงศ์เคี่ยม</t>
  </si>
  <si>
    <t>นางจิตฒ์ศยา  โฉมสำเภา</t>
  </si>
  <si>
    <t>พัชราภรณ์  อินริราย</t>
  </si>
  <si>
    <t>ธวัลรัตน์  สัมฤทธิ์</t>
  </si>
  <si>
    <t>นางผกาวดี  ภู่จันทร์</t>
  </si>
  <si>
    <t>น.ส.กฤษณา  วังเสนา</t>
  </si>
  <si>
    <t>น.ส.สมศรี  ทาสุทะ</t>
  </si>
  <si>
    <t>สุรเชษฐ์  ธนนพคุณ</t>
  </si>
  <si>
    <t>อัศวพร  แสงอรุณเลิศ</t>
  </si>
  <si>
    <t>คงเดช พะสีนาม</t>
  </si>
  <si>
    <t>อธิษฐาน งามกิจวัตร</t>
  </si>
  <si>
    <t>เพ็ญพร  แก้วฟุ้งรังษี</t>
  </si>
  <si>
    <t>นางวราภรณ์ ผาลี</t>
  </si>
  <si>
    <t>รัชดาภรณ์  ทิมัน</t>
  </si>
  <si>
    <t>กนกวรรณ  พรมจีน</t>
  </si>
  <si>
    <t xml:space="preserve">กีรติ ตันเรือน </t>
  </si>
  <si>
    <t>สิทธิชัย  อุดก่ำ</t>
  </si>
  <si>
    <t>กนกรัตน์ ปิลาผล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</si>
</sst>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59">
    <font>
      <sz val="14"/>
      <name val="Cordia New"/>
      <family val="0"/>
    </font>
    <font>
      <sz val="11"/>
      <color indexed="8"/>
      <name val="Calibri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name val="Cordia New"/>
      <family val="2"/>
    </font>
    <font>
      <sz val="16"/>
      <color indexed="9"/>
      <name val="TH SarabunPSK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6"/>
      <color indexed="60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4"/>
      <color indexed="60"/>
      <name val="TH SarabunPSK"/>
      <family val="2"/>
    </font>
    <font>
      <sz val="14"/>
      <color indexed="60"/>
      <name val="Cordia New"/>
      <family val="2"/>
    </font>
    <font>
      <b/>
      <sz val="12"/>
      <color indexed="60"/>
      <name val="TH SarabunPSK"/>
      <family val="2"/>
    </font>
    <font>
      <b/>
      <sz val="12"/>
      <color indexed="60"/>
      <name val="Cordia Ne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9C6500"/>
      <name val="TH SarabunPSK"/>
      <family val="2"/>
    </font>
    <font>
      <b/>
      <sz val="16"/>
      <color rgb="FFC00000"/>
      <name val="TH SarabunPSK"/>
      <family val="2"/>
    </font>
    <font>
      <b/>
      <sz val="14"/>
      <color rgb="FFC00000"/>
      <name val="TH SarabunPSK"/>
      <family val="2"/>
    </font>
    <font>
      <sz val="14"/>
      <color rgb="FFC00000"/>
      <name val="Cordia New"/>
      <family val="2"/>
    </font>
    <font>
      <b/>
      <sz val="12"/>
      <color rgb="FFC00000"/>
      <name val="Cordia New"/>
      <family val="2"/>
    </font>
    <font>
      <b/>
      <sz val="12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hair"/>
    </border>
    <border>
      <left/>
      <right/>
      <top/>
      <bottom style="thin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 style="thin"/>
      <right/>
      <top style="hair"/>
      <bottom style="dotted"/>
    </border>
    <border>
      <left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 quotePrefix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2" fillId="0" borderId="12" xfId="33" applyFont="1" applyFill="1" applyBorder="1" applyAlignment="1">
      <alignment vertical="center" shrinkToFit="1"/>
      <protection/>
    </xf>
    <xf numFmtId="0" fontId="52" fillId="0" borderId="0" xfId="33" applyFont="1" applyFill="1" applyAlignment="1">
      <alignment vertical="center" shrinkToFit="1"/>
      <protection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9" xfId="0" applyFont="1" applyBorder="1" applyAlignment="1">
      <alignment/>
    </xf>
    <xf numFmtId="164" fontId="7" fillId="0" borderId="10" xfId="37" applyNumberFormat="1" applyFont="1" applyFill="1" applyBorder="1" applyAlignment="1">
      <alignment/>
    </xf>
    <xf numFmtId="164" fontId="3" fillId="0" borderId="10" xfId="37" applyNumberFormat="1" applyFont="1" applyFill="1" applyBorder="1" applyAlignment="1">
      <alignment/>
    </xf>
    <xf numFmtId="164" fontId="53" fillId="24" borderId="4" xfId="50" applyNumberFormat="1" applyFont="1" applyBorder="1" applyAlignment="1">
      <alignment/>
    </xf>
    <xf numFmtId="17" fontId="4" fillId="0" borderId="20" xfId="0" applyNumberFormat="1" applyFont="1" applyBorder="1" applyAlignment="1">
      <alignment horizontal="center" vertical="center"/>
    </xf>
    <xf numFmtId="164" fontId="6" fillId="0" borderId="14" xfId="37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64" fontId="6" fillId="0" borderId="10" xfId="37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5" fillId="0" borderId="10" xfId="37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64" fontId="6" fillId="0" borderId="10" xfId="37" applyNumberFormat="1" applyFont="1" applyFill="1" applyBorder="1" applyAlignment="1">
      <alignment horizontal="left"/>
    </xf>
    <xf numFmtId="164" fontId="5" fillId="0" borderId="13" xfId="37" applyNumberFormat="1" applyFont="1" applyFill="1" applyBorder="1" applyAlignment="1">
      <alignment/>
    </xf>
    <xf numFmtId="0" fontId="52" fillId="0" borderId="10" xfId="33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164" fontId="6" fillId="0" borderId="12" xfId="37" applyNumberFormat="1" applyFont="1" applyFill="1" applyBorder="1" applyAlignment="1">
      <alignment horizontal="left"/>
    </xf>
    <xf numFmtId="164" fontId="5" fillId="0" borderId="12" xfId="37" applyNumberFormat="1" applyFont="1" applyFill="1" applyBorder="1" applyAlignment="1">
      <alignment/>
    </xf>
    <xf numFmtId="164" fontId="6" fillId="0" borderId="12" xfId="37" applyNumberFormat="1" applyFont="1" applyFill="1" applyBorder="1" applyAlignment="1">
      <alignment/>
    </xf>
    <xf numFmtId="164" fontId="5" fillId="0" borderId="16" xfId="37" applyNumberFormat="1" applyFont="1" applyFill="1" applyBorder="1" applyAlignment="1">
      <alignment/>
    </xf>
    <xf numFmtId="164" fontId="5" fillId="0" borderId="18" xfId="37" applyNumberFormat="1" applyFont="1" applyFill="1" applyBorder="1" applyAlignment="1">
      <alignment/>
    </xf>
    <xf numFmtId="164" fontId="7" fillId="0" borderId="12" xfId="37" applyNumberFormat="1" applyFont="1" applyFill="1" applyBorder="1" applyAlignment="1">
      <alignment/>
    </xf>
    <xf numFmtId="164" fontId="6" fillId="0" borderId="13" xfId="37" applyNumberFormat="1" applyFont="1" applyFill="1" applyBorder="1" applyAlignment="1">
      <alignment/>
    </xf>
    <xf numFmtId="164" fontId="5" fillId="0" borderId="14" xfId="37" applyNumberFormat="1" applyFont="1" applyFill="1" applyBorder="1" applyAlignment="1">
      <alignment/>
    </xf>
    <xf numFmtId="164" fontId="3" fillId="0" borderId="12" xfId="37" applyNumberFormat="1" applyFont="1" applyFill="1" applyBorder="1" applyAlignment="1">
      <alignment/>
    </xf>
    <xf numFmtId="164" fontId="3" fillId="0" borderId="18" xfId="37" applyNumberFormat="1" applyFont="1" applyFill="1" applyBorder="1" applyAlignment="1">
      <alignment/>
    </xf>
    <xf numFmtId="164" fontId="3" fillId="0" borderId="12" xfId="37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2" fillId="0" borderId="11" xfId="33" applyFont="1" applyFill="1" applyBorder="1" applyAlignment="1">
      <alignment horizontal="left" vertical="center" shrinkToFit="1"/>
      <protection/>
    </xf>
    <xf numFmtId="43" fontId="7" fillId="0" borderId="10" xfId="37" applyFont="1" applyFill="1" applyBorder="1" applyAlignment="1">
      <alignment/>
    </xf>
    <xf numFmtId="43" fontId="13" fillId="0" borderId="10" xfId="37" applyFont="1" applyFill="1" applyBorder="1" applyAlignment="1">
      <alignment/>
    </xf>
    <xf numFmtId="43" fontId="53" fillId="24" borderId="4" xfId="37" applyFont="1" applyFill="1" applyBorder="1" applyAlignment="1">
      <alignment/>
    </xf>
    <xf numFmtId="43" fontId="54" fillId="24" borderId="4" xfId="37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164" fontId="3" fillId="0" borderId="16" xfId="37" applyNumberFormat="1" applyFont="1" applyFill="1" applyBorder="1" applyAlignment="1">
      <alignment/>
    </xf>
    <xf numFmtId="164" fontId="6" fillId="0" borderId="23" xfId="37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4" fontId="6" fillId="33" borderId="10" xfId="37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4" fontId="5" fillId="33" borderId="10" xfId="37" applyNumberFormat="1" applyFont="1" applyFill="1" applyBorder="1" applyAlignment="1">
      <alignment/>
    </xf>
    <xf numFmtId="43" fontId="6" fillId="33" borderId="11" xfId="37" applyFont="1" applyFill="1" applyBorder="1" applyAlignment="1">
      <alignment horizontal="left"/>
    </xf>
    <xf numFmtId="43" fontId="6" fillId="33" borderId="12" xfId="37" applyFont="1" applyFill="1" applyBorder="1" applyAlignment="1">
      <alignment/>
    </xf>
    <xf numFmtId="43" fontId="6" fillId="33" borderId="10" xfId="37" applyFont="1" applyFill="1" applyBorder="1" applyAlignment="1">
      <alignment horizontal="center"/>
    </xf>
    <xf numFmtId="43" fontId="6" fillId="33" borderId="10" xfId="37" applyFont="1" applyFill="1" applyBorder="1" applyAlignment="1">
      <alignment horizontal="left"/>
    </xf>
    <xf numFmtId="164" fontId="6" fillId="33" borderId="10" xfId="37" applyNumberFormat="1" applyFont="1" applyFill="1" applyBorder="1" applyAlignment="1">
      <alignment horizontal="left"/>
    </xf>
    <xf numFmtId="43" fontId="54" fillId="33" borderId="23" xfId="37" applyFont="1" applyFill="1" applyBorder="1" applyAlignment="1">
      <alignment/>
    </xf>
    <xf numFmtId="43" fontId="14" fillId="33" borderId="19" xfId="37" applyFont="1" applyFill="1" applyBorder="1" applyAlignment="1">
      <alignment/>
    </xf>
    <xf numFmtId="43" fontId="14" fillId="33" borderId="0" xfId="37" applyFont="1" applyFill="1" applyBorder="1" applyAlignment="1">
      <alignment/>
    </xf>
    <xf numFmtId="43" fontId="14" fillId="33" borderId="0" xfId="37" applyFont="1" applyFill="1" applyAlignment="1">
      <alignment/>
    </xf>
    <xf numFmtId="0" fontId="5" fillId="33" borderId="10" xfId="0" applyFont="1" applyFill="1" applyBorder="1" applyAlignment="1" quotePrefix="1">
      <alignment horizontal="center"/>
    </xf>
    <xf numFmtId="0" fontId="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37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4" fillId="0" borderId="26" xfId="37" applyFont="1" applyBorder="1" applyAlignment="1">
      <alignment horizontal="center" vertical="center"/>
    </xf>
    <xf numFmtId="43" fontId="4" fillId="0" borderId="20" xfId="37" applyFont="1" applyBorder="1" applyAlignment="1">
      <alignment horizontal="center" vertical="center"/>
    </xf>
    <xf numFmtId="43" fontId="5" fillId="0" borderId="18" xfId="37" applyFont="1" applyFill="1" applyBorder="1" applyAlignment="1">
      <alignment/>
    </xf>
    <xf numFmtId="43" fontId="6" fillId="0" borderId="12" xfId="37" applyFont="1" applyFill="1" applyBorder="1" applyAlignment="1">
      <alignment horizontal="left"/>
    </xf>
    <xf numFmtId="43" fontId="5" fillId="0" borderId="12" xfId="37" applyFont="1" applyFill="1" applyBorder="1" applyAlignment="1">
      <alignment/>
    </xf>
    <xf numFmtId="43" fontId="6" fillId="0" borderId="12" xfId="37" applyFont="1" applyFill="1" applyBorder="1" applyAlignment="1">
      <alignment/>
    </xf>
    <xf numFmtId="43" fontId="6" fillId="0" borderId="10" xfId="37" applyFont="1" applyFill="1" applyBorder="1" applyAlignment="1">
      <alignment horizontal="left"/>
    </xf>
    <xf numFmtId="43" fontId="5" fillId="0" borderId="16" xfId="37" applyFont="1" applyFill="1" applyBorder="1" applyAlignment="1">
      <alignment/>
    </xf>
    <xf numFmtId="43" fontId="7" fillId="0" borderId="12" xfId="37" applyFont="1" applyFill="1" applyBorder="1" applyAlignment="1">
      <alignment/>
    </xf>
    <xf numFmtId="43" fontId="3" fillId="0" borderId="10" xfId="37" applyFont="1" applyFill="1" applyBorder="1" applyAlignment="1">
      <alignment/>
    </xf>
    <xf numFmtId="43" fontId="6" fillId="0" borderId="10" xfId="37" applyFont="1" applyFill="1" applyBorder="1" applyAlignment="1">
      <alignment/>
    </xf>
    <xf numFmtId="43" fontId="6" fillId="0" borderId="13" xfId="37" applyFont="1" applyFill="1" applyBorder="1" applyAlignment="1">
      <alignment/>
    </xf>
    <xf numFmtId="43" fontId="5" fillId="0" borderId="14" xfId="37" applyFont="1" applyFill="1" applyBorder="1" applyAlignment="1">
      <alignment/>
    </xf>
    <xf numFmtId="43" fontId="5" fillId="0" borderId="10" xfId="37" applyFont="1" applyFill="1" applyBorder="1" applyAlignment="1">
      <alignment/>
    </xf>
    <xf numFmtId="43" fontId="3" fillId="33" borderId="10" xfId="37" applyFont="1" applyFill="1" applyBorder="1" applyAlignment="1">
      <alignment/>
    </xf>
    <xf numFmtId="43" fontId="13" fillId="33" borderId="10" xfId="37" applyFont="1" applyFill="1" applyBorder="1" applyAlignment="1">
      <alignment/>
    </xf>
    <xf numFmtId="43" fontId="3" fillId="0" borderId="12" xfId="37" applyFont="1" applyFill="1" applyBorder="1" applyAlignment="1">
      <alignment/>
    </xf>
    <xf numFmtId="43" fontId="3" fillId="0" borderId="16" xfId="37" applyFont="1" applyFill="1" applyBorder="1" applyAlignment="1">
      <alignment/>
    </xf>
    <xf numFmtId="43" fontId="3" fillId="0" borderId="18" xfId="37" applyFont="1" applyFill="1" applyBorder="1" applyAlignment="1">
      <alignment/>
    </xf>
    <xf numFmtId="43" fontId="3" fillId="0" borderId="12" xfId="37" applyFont="1" applyFill="1" applyBorder="1" applyAlignment="1">
      <alignment horizontal="left"/>
    </xf>
    <xf numFmtId="43" fontId="5" fillId="0" borderId="13" xfId="37" applyFont="1" applyFill="1" applyBorder="1" applyAlignment="1">
      <alignment/>
    </xf>
    <xf numFmtId="43" fontId="6" fillId="0" borderId="14" xfId="37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6" fillId="33" borderId="10" xfId="37" applyFont="1" applyFill="1" applyBorder="1" applyAlignment="1">
      <alignment/>
    </xf>
    <xf numFmtId="43" fontId="6" fillId="0" borderId="23" xfId="37" applyFont="1" applyFill="1" applyBorder="1" applyAlignment="1">
      <alignment horizontal="left"/>
    </xf>
    <xf numFmtId="43" fontId="0" fillId="0" borderId="0" xfId="37" applyFont="1" applyAlignment="1">
      <alignment/>
    </xf>
    <xf numFmtId="43" fontId="55" fillId="0" borderId="26" xfId="37" applyFont="1" applyBorder="1" applyAlignment="1">
      <alignment horizontal="center" vertical="center"/>
    </xf>
    <xf numFmtId="43" fontId="55" fillId="0" borderId="20" xfId="37" applyFont="1" applyBorder="1" applyAlignment="1">
      <alignment horizontal="center" vertical="center"/>
    </xf>
    <xf numFmtId="43" fontId="54" fillId="0" borderId="23" xfId="37" applyFont="1" applyFill="1" applyBorder="1" applyAlignment="1">
      <alignment/>
    </xf>
    <xf numFmtId="43" fontId="56" fillId="0" borderId="0" xfId="37" applyFont="1" applyAlignment="1">
      <alignment/>
    </xf>
    <xf numFmtId="17" fontId="4" fillId="0" borderId="20" xfId="37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7" fillId="33" borderId="12" xfId="37" applyNumberFormat="1" applyFont="1" applyFill="1" applyBorder="1" applyAlignment="1">
      <alignment/>
    </xf>
    <xf numFmtId="43" fontId="7" fillId="33" borderId="12" xfId="37" applyFont="1" applyFill="1" applyBorder="1" applyAlignment="1">
      <alignment/>
    </xf>
    <xf numFmtId="43" fontId="57" fillId="0" borderId="0" xfId="37" applyFont="1" applyAlignment="1">
      <alignment/>
    </xf>
    <xf numFmtId="43" fontId="58" fillId="0" borderId="20" xfId="37" applyFont="1" applyBorder="1" applyAlignment="1">
      <alignment horizontal="center" vertical="center"/>
    </xf>
    <xf numFmtId="43" fontId="58" fillId="0" borderId="23" xfId="37" applyFont="1" applyFill="1" applyBorder="1" applyAlignment="1">
      <alignment/>
    </xf>
    <xf numFmtId="43" fontId="58" fillId="33" borderId="23" xfId="37" applyFont="1" applyFill="1" applyBorder="1" applyAlignment="1">
      <alignment/>
    </xf>
    <xf numFmtId="43" fontId="58" fillId="24" borderId="4" xfId="37" applyFont="1" applyFill="1" applyBorder="1" applyAlignment="1">
      <alignment/>
    </xf>
    <xf numFmtId="43" fontId="13" fillId="0" borderId="27" xfId="37" applyFont="1" applyFill="1" applyBorder="1" applyAlignment="1">
      <alignment/>
    </xf>
    <xf numFmtId="164" fontId="5" fillId="33" borderId="12" xfId="37" applyNumberFormat="1" applyFont="1" applyFill="1" applyBorder="1" applyAlignment="1">
      <alignment/>
    </xf>
    <xf numFmtId="43" fontId="5" fillId="33" borderId="12" xfId="37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164" fontId="6" fillId="33" borderId="23" xfId="37" applyNumberFormat="1" applyFont="1" applyFill="1" applyBorder="1" applyAlignment="1">
      <alignment/>
    </xf>
    <xf numFmtId="43" fontId="6" fillId="33" borderId="23" xfId="37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14" fillId="33" borderId="21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164" fontId="6" fillId="33" borderId="12" xfId="37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4" fontId="5" fillId="0" borderId="25" xfId="37" applyNumberFormat="1" applyFont="1" applyFill="1" applyBorder="1" applyAlignment="1">
      <alignment/>
    </xf>
    <xf numFmtId="43" fontId="5" fillId="0" borderId="25" xfId="37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64" fontId="5" fillId="0" borderId="23" xfId="37" applyNumberFormat="1" applyFont="1" applyFill="1" applyBorder="1" applyAlignment="1">
      <alignment/>
    </xf>
    <xf numFmtId="43" fontId="5" fillId="0" borderId="23" xfId="37" applyFont="1" applyFill="1" applyBorder="1" applyAlignment="1">
      <alignment/>
    </xf>
    <xf numFmtId="43" fontId="13" fillId="33" borderId="23" xfId="37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0" xfId="0" applyFill="1" applyAlignment="1">
      <alignment/>
    </xf>
    <xf numFmtId="164" fontId="3" fillId="33" borderId="12" xfId="37" applyNumberFormat="1" applyFont="1" applyFill="1" applyBorder="1" applyAlignment="1">
      <alignment/>
    </xf>
    <xf numFmtId="43" fontId="3" fillId="33" borderId="12" xfId="37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164" fontId="6" fillId="33" borderId="12" xfId="37" applyNumberFormat="1" applyFont="1" applyFill="1" applyBorder="1" applyAlignment="1">
      <alignment horizontal="left"/>
    </xf>
    <xf numFmtId="43" fontId="6" fillId="33" borderId="12" xfId="37" applyFont="1" applyFill="1" applyBorder="1" applyAlignment="1">
      <alignment horizontal="left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164" fontId="5" fillId="33" borderId="27" xfId="37" applyNumberFormat="1" applyFont="1" applyFill="1" applyBorder="1" applyAlignment="1">
      <alignment/>
    </xf>
    <xf numFmtId="43" fontId="5" fillId="33" borderId="27" xfId="37" applyFont="1" applyFill="1" applyBorder="1" applyAlignment="1">
      <alignment/>
    </xf>
    <xf numFmtId="43" fontId="13" fillId="33" borderId="27" xfId="37" applyFont="1" applyFill="1" applyBorder="1" applyAlignment="1">
      <alignment/>
    </xf>
    <xf numFmtId="0" fontId="5" fillId="33" borderId="14" xfId="0" applyFont="1" applyFill="1" applyBorder="1" applyAlignment="1" quotePrefix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164" fontId="5" fillId="33" borderId="18" xfId="37" applyNumberFormat="1" applyFont="1" applyFill="1" applyBorder="1" applyAlignment="1">
      <alignment/>
    </xf>
    <xf numFmtId="43" fontId="5" fillId="33" borderId="18" xfId="37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164" fontId="6" fillId="33" borderId="13" xfId="37" applyNumberFormat="1" applyFont="1" applyFill="1" applyBorder="1" applyAlignment="1">
      <alignment horizontal="left"/>
    </xf>
    <xf numFmtId="43" fontId="6" fillId="33" borderId="13" xfId="37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4" fontId="6" fillId="33" borderId="14" xfId="37" applyNumberFormat="1" applyFont="1" applyFill="1" applyBorder="1" applyAlignment="1">
      <alignment/>
    </xf>
    <xf numFmtId="43" fontId="6" fillId="33" borderId="14" xfId="37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3" xfId="0" applyFont="1" applyFill="1" applyBorder="1" applyAlignment="1">
      <alignment/>
    </xf>
    <xf numFmtId="164" fontId="5" fillId="33" borderId="33" xfId="37" applyNumberFormat="1" applyFont="1" applyFill="1" applyBorder="1" applyAlignment="1">
      <alignment/>
    </xf>
    <xf numFmtId="43" fontId="5" fillId="33" borderId="33" xfId="37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164" fontId="5" fillId="33" borderId="16" xfId="37" applyNumberFormat="1" applyFont="1" applyFill="1" applyBorder="1" applyAlignment="1">
      <alignment/>
    </xf>
    <xf numFmtId="43" fontId="5" fillId="33" borderId="16" xfId="37" applyFont="1" applyFill="1" applyBorder="1" applyAlignment="1">
      <alignment/>
    </xf>
    <xf numFmtId="0" fontId="6" fillId="33" borderId="34" xfId="0" applyFont="1" applyFill="1" applyBorder="1" applyAlignment="1">
      <alignment horizontal="left"/>
    </xf>
    <xf numFmtId="0" fontId="6" fillId="33" borderId="35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164" fontId="6" fillId="33" borderId="20" xfId="37" applyNumberFormat="1" applyFont="1" applyFill="1" applyBorder="1" applyAlignment="1">
      <alignment horizontal="left"/>
    </xf>
    <xf numFmtId="43" fontId="6" fillId="33" borderId="20" xfId="37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4" fontId="5" fillId="33" borderId="23" xfId="37" applyNumberFormat="1" applyFont="1" applyFill="1" applyBorder="1" applyAlignment="1">
      <alignment/>
    </xf>
    <xf numFmtId="43" fontId="5" fillId="33" borderId="23" xfId="37" applyFont="1" applyFill="1" applyBorder="1" applyAlignment="1">
      <alignment/>
    </xf>
    <xf numFmtId="164" fontId="7" fillId="33" borderId="10" xfId="37" applyNumberFormat="1" applyFont="1" applyFill="1" applyBorder="1" applyAlignment="1">
      <alignment/>
    </xf>
    <xf numFmtId="43" fontId="7" fillId="33" borderId="10" xfId="37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45" fillId="24" borderId="36" xfId="50" applyBorder="1" applyAlignment="1">
      <alignment horizontal="center"/>
    </xf>
    <xf numFmtId="0" fontId="45" fillId="24" borderId="37" xfId="5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" fontId="4" fillId="0" borderId="39" xfId="0" applyNumberFormat="1" applyFont="1" applyBorder="1" applyAlignment="1">
      <alignment horizontal="center" vertical="center"/>
    </xf>
    <xf numFmtId="17" fontId="4" fillId="0" borderId="40" xfId="0" applyNumberFormat="1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2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8"/>
  <sheetViews>
    <sheetView tabSelected="1" view="pageBreakPreview" zoomScaleSheetLayoutView="100" zoomScalePageLayoutView="0" workbookViewId="0" topLeftCell="B1">
      <pane xSplit="6" ySplit="8" topLeftCell="H216" activePane="bottomRight" state="frozen"/>
      <selection pane="topLeft" activeCell="B1" sqref="B1"/>
      <selection pane="topRight" activeCell="H1" sqref="H1"/>
      <selection pane="bottomLeft" activeCell="B9" sqref="B9"/>
      <selection pane="bottomRight" activeCell="P224" sqref="P224"/>
    </sheetView>
  </sheetViews>
  <sheetFormatPr defaultColWidth="9.140625" defaultRowHeight="21.75"/>
  <cols>
    <col min="1" max="1" width="6.7109375" style="0" customWidth="1"/>
    <col min="2" max="2" width="8.140625" style="0" customWidth="1"/>
    <col min="3" max="3" width="23.28125" style="0" customWidth="1"/>
    <col min="4" max="4" width="8.28125" style="34" customWidth="1"/>
    <col min="5" max="5" width="26.00390625" style="0" customWidth="1"/>
    <col min="6" max="6" width="13.421875" style="0" hidden="1" customWidth="1"/>
    <col min="7" max="7" width="12.7109375" style="148" hidden="1" customWidth="1"/>
    <col min="8" max="8" width="13.57421875" style="148" hidden="1" customWidth="1"/>
    <col min="9" max="15" width="12.7109375" style="148" hidden="1" customWidth="1"/>
    <col min="16" max="16" width="12.7109375" style="148" customWidth="1"/>
    <col min="17" max="17" width="15.140625" style="148" customWidth="1"/>
    <col min="18" max="18" width="12.7109375" style="152" customWidth="1"/>
    <col min="19" max="19" width="27.57421875" style="158" customWidth="1"/>
  </cols>
  <sheetData>
    <row r="1" spans="1:20" s="1" customFormat="1" ht="27.75">
      <c r="A1" s="260" t="s">
        <v>690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0" s="1" customFormat="1" ht="24" customHeight="1">
      <c r="A2" s="261" t="s">
        <v>697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s="1" customFormat="1" ht="24.75" customHeight="1">
      <c r="A3" s="262" t="s">
        <v>698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1"/>
      <c r="T3" s="261"/>
    </row>
    <row r="4" spans="1:20" s="1" customFormat="1" ht="27" customHeight="1">
      <c r="A4" s="263" t="s">
        <v>0</v>
      </c>
      <c r="B4" s="263" t="s">
        <v>1</v>
      </c>
      <c r="C4" s="263"/>
      <c r="D4" s="263" t="s">
        <v>2</v>
      </c>
      <c r="E4" s="263" t="s">
        <v>3</v>
      </c>
      <c r="F4" s="264" t="s">
        <v>691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123" t="s">
        <v>692</v>
      </c>
      <c r="R4" s="149" t="s">
        <v>695</v>
      </c>
      <c r="S4" s="149" t="s">
        <v>873</v>
      </c>
      <c r="T4" s="46"/>
    </row>
    <row r="5" spans="1:19" s="1" customFormat="1" ht="27.75" customHeight="1">
      <c r="A5" s="263"/>
      <c r="B5" s="263"/>
      <c r="C5" s="263"/>
      <c r="D5" s="263"/>
      <c r="E5" s="263"/>
      <c r="F5" s="50">
        <v>21490</v>
      </c>
      <c r="G5" s="153">
        <v>21520</v>
      </c>
      <c r="H5" s="153">
        <v>21551</v>
      </c>
      <c r="I5" s="153">
        <v>21582</v>
      </c>
      <c r="J5" s="153">
        <v>21610</v>
      </c>
      <c r="K5" s="153">
        <v>21641</v>
      </c>
      <c r="L5" s="153">
        <v>21671</v>
      </c>
      <c r="M5" s="153">
        <v>21702</v>
      </c>
      <c r="N5" s="153">
        <v>21732</v>
      </c>
      <c r="O5" s="153">
        <v>21763</v>
      </c>
      <c r="P5" s="153">
        <v>21794</v>
      </c>
      <c r="Q5" s="124" t="s">
        <v>693</v>
      </c>
      <c r="R5" s="150" t="s">
        <v>693</v>
      </c>
      <c r="S5" s="159"/>
    </row>
    <row r="6" spans="1:19" s="122" customFormat="1" ht="24">
      <c r="A6" s="204" t="s">
        <v>4</v>
      </c>
      <c r="B6" s="205" t="s">
        <v>5</v>
      </c>
      <c r="C6" s="206" t="s">
        <v>6</v>
      </c>
      <c r="D6" s="207" t="s">
        <v>5</v>
      </c>
      <c r="E6" s="208" t="s">
        <v>7</v>
      </c>
      <c r="F6" s="209"/>
      <c r="G6" s="210"/>
      <c r="H6" s="210"/>
      <c r="I6" s="210"/>
      <c r="J6" s="210">
        <v>1400</v>
      </c>
      <c r="K6" s="210"/>
      <c r="L6" s="210"/>
      <c r="M6" s="210">
        <v>4600</v>
      </c>
      <c r="N6" s="210"/>
      <c r="O6" s="210"/>
      <c r="P6" s="210"/>
      <c r="Q6" s="138">
        <f>SUM(F6:P6)</f>
        <v>6000</v>
      </c>
      <c r="R6" s="114">
        <f>6000-Q6</f>
        <v>0</v>
      </c>
      <c r="S6" s="161"/>
    </row>
    <row r="7" spans="1:19" s="16" customFormat="1" ht="24">
      <c r="A7" s="2" t="s">
        <v>8</v>
      </c>
      <c r="B7" s="3" t="s">
        <v>5</v>
      </c>
      <c r="C7" s="4" t="s">
        <v>9</v>
      </c>
      <c r="D7" s="5" t="s">
        <v>5</v>
      </c>
      <c r="E7" s="6" t="s">
        <v>7</v>
      </c>
      <c r="F7" s="64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79">
        <f aca="true" t="shared" si="0" ref="Q7:Q75">SUM(F7:P7)</f>
        <v>0</v>
      </c>
      <c r="R7" s="151">
        <f aca="true" t="shared" si="1" ref="R7:R75">6000-Q7</f>
        <v>6000</v>
      </c>
      <c r="S7" s="160"/>
    </row>
    <row r="8" spans="1:19" s="16" customFormat="1" ht="24">
      <c r="A8" s="2" t="s">
        <v>10</v>
      </c>
      <c r="B8" s="7" t="s">
        <v>5</v>
      </c>
      <c r="C8" s="8" t="s">
        <v>11</v>
      </c>
      <c r="D8" s="9" t="s">
        <v>5</v>
      </c>
      <c r="E8" s="10" t="s">
        <v>7</v>
      </c>
      <c r="F8" s="65"/>
      <c r="G8" s="127">
        <v>1000</v>
      </c>
      <c r="H8" s="127"/>
      <c r="I8" s="127"/>
      <c r="J8" s="127"/>
      <c r="K8" s="127"/>
      <c r="L8" s="127"/>
      <c r="M8" s="127"/>
      <c r="N8" s="127"/>
      <c r="O8" s="127">
        <v>250</v>
      </c>
      <c r="P8" s="127"/>
      <c r="Q8" s="79">
        <f t="shared" si="0"/>
        <v>1250</v>
      </c>
      <c r="R8" s="151">
        <f t="shared" si="1"/>
        <v>4750</v>
      </c>
      <c r="S8" s="160"/>
    </row>
    <row r="9" spans="1:19" s="16" customFormat="1" ht="24">
      <c r="A9" s="2" t="s">
        <v>12</v>
      </c>
      <c r="B9" s="3" t="s">
        <v>5</v>
      </c>
      <c r="C9" s="4" t="s">
        <v>13</v>
      </c>
      <c r="D9" s="5" t="s">
        <v>5</v>
      </c>
      <c r="E9" s="11" t="s">
        <v>7</v>
      </c>
      <c r="F9" s="66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79">
        <f t="shared" si="0"/>
        <v>0</v>
      </c>
      <c r="R9" s="151">
        <f t="shared" si="1"/>
        <v>6000</v>
      </c>
      <c r="S9" s="160"/>
    </row>
    <row r="10" spans="1:19" s="16" customFormat="1" ht="24">
      <c r="A10" s="2" t="s">
        <v>14</v>
      </c>
      <c r="B10" s="3" t="s">
        <v>5</v>
      </c>
      <c r="C10" s="4" t="s">
        <v>15</v>
      </c>
      <c r="D10" s="5" t="s">
        <v>5</v>
      </c>
      <c r="E10" s="11" t="s">
        <v>7</v>
      </c>
      <c r="F10" s="66"/>
      <c r="G10" s="128"/>
      <c r="H10" s="128">
        <v>400</v>
      </c>
      <c r="I10" s="128">
        <v>1520</v>
      </c>
      <c r="J10" s="128"/>
      <c r="K10" s="128"/>
      <c r="L10" s="128">
        <f>500+405</f>
        <v>905</v>
      </c>
      <c r="M10" s="128"/>
      <c r="N10" s="128"/>
      <c r="O10" s="128"/>
      <c r="P10" s="128"/>
      <c r="Q10" s="79">
        <f t="shared" si="0"/>
        <v>2825</v>
      </c>
      <c r="R10" s="151">
        <f t="shared" si="1"/>
        <v>3175</v>
      </c>
      <c r="S10" s="160"/>
    </row>
    <row r="11" spans="1:19" s="16" customFormat="1" ht="24">
      <c r="A11" s="2" t="s">
        <v>16</v>
      </c>
      <c r="B11" s="3" t="s">
        <v>5</v>
      </c>
      <c r="C11" s="4" t="s">
        <v>17</v>
      </c>
      <c r="D11" s="5" t="s">
        <v>5</v>
      </c>
      <c r="E11" s="6" t="s">
        <v>7</v>
      </c>
      <c r="F11" s="64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79">
        <f t="shared" si="0"/>
        <v>0</v>
      </c>
      <c r="R11" s="151">
        <f t="shared" si="1"/>
        <v>6000</v>
      </c>
      <c r="S11" s="160"/>
    </row>
    <row r="12" spans="1:19" s="16" customFormat="1" ht="24">
      <c r="A12" s="2" t="s">
        <v>18</v>
      </c>
      <c r="B12" s="7" t="s">
        <v>5</v>
      </c>
      <c r="C12" s="8" t="s">
        <v>19</v>
      </c>
      <c r="D12" s="9" t="s">
        <v>5</v>
      </c>
      <c r="E12" s="10" t="s">
        <v>7</v>
      </c>
      <c r="F12" s="65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79">
        <f t="shared" si="0"/>
        <v>0</v>
      </c>
      <c r="R12" s="151">
        <f t="shared" si="1"/>
        <v>6000</v>
      </c>
      <c r="S12" s="160"/>
    </row>
    <row r="13" spans="1:19" s="16" customFormat="1" ht="24">
      <c r="A13" s="2" t="s">
        <v>20</v>
      </c>
      <c r="B13" s="30" t="s">
        <v>5</v>
      </c>
      <c r="C13" s="84" t="s">
        <v>21</v>
      </c>
      <c r="D13" s="9" t="s">
        <v>5</v>
      </c>
      <c r="E13" s="10" t="s">
        <v>7</v>
      </c>
      <c r="F13" s="65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79">
        <f t="shared" si="0"/>
        <v>0</v>
      </c>
      <c r="R13" s="151">
        <f t="shared" si="1"/>
        <v>6000</v>
      </c>
      <c r="S13" s="160"/>
    </row>
    <row r="14" spans="1:19" s="16" customFormat="1" ht="24">
      <c r="A14" s="2" t="s">
        <v>22</v>
      </c>
      <c r="B14" s="75" t="s">
        <v>5</v>
      </c>
      <c r="C14" s="24" t="s">
        <v>23</v>
      </c>
      <c r="D14" s="9" t="s">
        <v>5</v>
      </c>
      <c r="E14" s="10" t="s">
        <v>7</v>
      </c>
      <c r="F14" s="65"/>
      <c r="G14" s="127"/>
      <c r="H14" s="127"/>
      <c r="I14" s="127"/>
      <c r="J14" s="127"/>
      <c r="K14" s="127">
        <v>1195</v>
      </c>
      <c r="L14" s="127"/>
      <c r="M14" s="127"/>
      <c r="N14" s="127"/>
      <c r="O14" s="127"/>
      <c r="P14" s="127"/>
      <c r="Q14" s="79">
        <f t="shared" si="0"/>
        <v>1195</v>
      </c>
      <c r="R14" s="151">
        <f t="shared" si="1"/>
        <v>4805</v>
      </c>
      <c r="S14" s="160"/>
    </row>
    <row r="15" spans="1:19" s="16" customFormat="1" ht="24">
      <c r="A15" s="2" t="s">
        <v>24</v>
      </c>
      <c r="B15" s="30" t="s">
        <v>5</v>
      </c>
      <c r="C15" s="84" t="s">
        <v>25</v>
      </c>
      <c r="D15" s="9" t="s">
        <v>5</v>
      </c>
      <c r="E15" s="10" t="s">
        <v>7</v>
      </c>
      <c r="F15" s="65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79">
        <f t="shared" si="0"/>
        <v>0</v>
      </c>
      <c r="R15" s="151">
        <f t="shared" si="1"/>
        <v>6000</v>
      </c>
      <c r="S15" s="160"/>
    </row>
    <row r="16" spans="1:19" s="16" customFormat="1" ht="24">
      <c r="A16" s="2" t="s">
        <v>26</v>
      </c>
      <c r="B16" s="3" t="s">
        <v>5</v>
      </c>
      <c r="C16" s="4" t="s">
        <v>27</v>
      </c>
      <c r="D16" s="5" t="s">
        <v>5</v>
      </c>
      <c r="E16" s="11" t="s">
        <v>7</v>
      </c>
      <c r="F16" s="66"/>
      <c r="G16" s="128"/>
      <c r="H16" s="128"/>
      <c r="I16" s="128"/>
      <c r="J16" s="128"/>
      <c r="K16" s="128">
        <v>2442</v>
      </c>
      <c r="L16" s="128"/>
      <c r="M16" s="128"/>
      <c r="N16" s="128"/>
      <c r="O16" s="128"/>
      <c r="P16" s="128">
        <v>780</v>
      </c>
      <c r="Q16" s="79">
        <f t="shared" si="0"/>
        <v>3222</v>
      </c>
      <c r="R16" s="151">
        <f t="shared" si="1"/>
        <v>2778</v>
      </c>
      <c r="S16" s="160"/>
    </row>
    <row r="17" spans="1:19" s="16" customFormat="1" ht="24">
      <c r="A17" s="2" t="s">
        <v>28</v>
      </c>
      <c r="B17" s="3" t="s">
        <v>5</v>
      </c>
      <c r="C17" s="4" t="s">
        <v>29</v>
      </c>
      <c r="D17" s="5" t="s">
        <v>5</v>
      </c>
      <c r="E17" s="6" t="s">
        <v>7</v>
      </c>
      <c r="F17" s="64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79">
        <f t="shared" si="0"/>
        <v>0</v>
      </c>
      <c r="R17" s="151">
        <f t="shared" si="1"/>
        <v>6000</v>
      </c>
      <c r="S17" s="160"/>
    </row>
    <row r="18" spans="1:19" s="16" customFormat="1" ht="24">
      <c r="A18" s="2" t="s">
        <v>30</v>
      </c>
      <c r="B18" s="3" t="s">
        <v>5</v>
      </c>
      <c r="C18" s="4" t="s">
        <v>31</v>
      </c>
      <c r="D18" s="5" t="s">
        <v>5</v>
      </c>
      <c r="E18" s="11" t="s">
        <v>7</v>
      </c>
      <c r="F18" s="66"/>
      <c r="G18" s="128"/>
      <c r="H18" s="128"/>
      <c r="I18" s="128"/>
      <c r="J18" s="128"/>
      <c r="K18" s="128"/>
      <c r="L18" s="128">
        <f>1585+720+500+1080</f>
        <v>3885</v>
      </c>
      <c r="M18" s="128"/>
      <c r="N18" s="128">
        <v>825</v>
      </c>
      <c r="O18" s="128">
        <v>785</v>
      </c>
      <c r="P18" s="128"/>
      <c r="Q18" s="79">
        <f t="shared" si="0"/>
        <v>5495</v>
      </c>
      <c r="R18" s="151">
        <f t="shared" si="1"/>
        <v>505</v>
      </c>
      <c r="S18" s="160"/>
    </row>
    <row r="19" spans="1:19" s="16" customFormat="1" ht="24">
      <c r="A19" s="2" t="s">
        <v>32</v>
      </c>
      <c r="B19" s="3" t="s">
        <v>5</v>
      </c>
      <c r="C19" s="4" t="s">
        <v>33</v>
      </c>
      <c r="D19" s="5" t="s">
        <v>5</v>
      </c>
      <c r="E19" s="6" t="s">
        <v>7</v>
      </c>
      <c r="F19" s="64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79">
        <f t="shared" si="0"/>
        <v>0</v>
      </c>
      <c r="R19" s="151">
        <f t="shared" si="1"/>
        <v>6000</v>
      </c>
      <c r="S19" s="160"/>
    </row>
    <row r="20" spans="1:19" s="16" customFormat="1" ht="24">
      <c r="A20" s="2" t="s">
        <v>34</v>
      </c>
      <c r="B20" s="3" t="s">
        <v>5</v>
      </c>
      <c r="C20" s="4" t="s">
        <v>35</v>
      </c>
      <c r="D20" s="5" t="s">
        <v>5</v>
      </c>
      <c r="E20" s="6" t="s">
        <v>7</v>
      </c>
      <c r="F20" s="64"/>
      <c r="G20" s="126"/>
      <c r="H20" s="126"/>
      <c r="I20" s="126"/>
      <c r="J20" s="126"/>
      <c r="K20" s="126"/>
      <c r="L20" s="126">
        <f>2881+2766</f>
        <v>5647</v>
      </c>
      <c r="M20" s="126"/>
      <c r="N20" s="126"/>
      <c r="O20" s="126"/>
      <c r="P20" s="126"/>
      <c r="Q20" s="79">
        <f t="shared" si="0"/>
        <v>5647</v>
      </c>
      <c r="R20" s="151">
        <f t="shared" si="1"/>
        <v>353</v>
      </c>
      <c r="S20" s="160"/>
    </row>
    <row r="21" spans="1:19" s="16" customFormat="1" ht="24">
      <c r="A21" s="2" t="s">
        <v>36</v>
      </c>
      <c r="B21" s="3" t="s">
        <v>5</v>
      </c>
      <c r="C21" s="4" t="s">
        <v>37</v>
      </c>
      <c r="D21" s="5" t="s">
        <v>5</v>
      </c>
      <c r="E21" s="6" t="s">
        <v>7</v>
      </c>
      <c r="F21" s="64"/>
      <c r="G21" s="126"/>
      <c r="H21" s="126"/>
      <c r="I21" s="126"/>
      <c r="J21" s="126"/>
      <c r="K21" s="126"/>
      <c r="L21" s="126"/>
      <c r="M21" s="126"/>
      <c r="N21" s="126"/>
      <c r="O21" s="126">
        <v>1510</v>
      </c>
      <c r="P21" s="126">
        <v>1150</v>
      </c>
      <c r="Q21" s="79">
        <f t="shared" si="0"/>
        <v>2660</v>
      </c>
      <c r="R21" s="151">
        <f t="shared" si="1"/>
        <v>3340</v>
      </c>
      <c r="S21" s="160"/>
    </row>
    <row r="22" spans="1:19" s="16" customFormat="1" ht="24">
      <c r="A22" s="2" t="s">
        <v>38</v>
      </c>
      <c r="B22" s="3" t="s">
        <v>5</v>
      </c>
      <c r="C22" s="4" t="s">
        <v>39</v>
      </c>
      <c r="D22" s="5" t="s">
        <v>5</v>
      </c>
      <c r="E22" s="6" t="s">
        <v>7</v>
      </c>
      <c r="F22" s="64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79">
        <f t="shared" si="0"/>
        <v>0</v>
      </c>
      <c r="R22" s="151">
        <f t="shared" si="1"/>
        <v>6000</v>
      </c>
      <c r="S22" s="160"/>
    </row>
    <row r="23" spans="1:19" s="122" customFormat="1" ht="24">
      <c r="A23" s="118" t="s">
        <v>40</v>
      </c>
      <c r="B23" s="154" t="s">
        <v>5</v>
      </c>
      <c r="C23" s="97" t="s">
        <v>41</v>
      </c>
      <c r="D23" s="98" t="s">
        <v>5</v>
      </c>
      <c r="E23" s="194" t="s">
        <v>7</v>
      </c>
      <c r="F23" s="195"/>
      <c r="G23" s="196"/>
      <c r="H23" s="196"/>
      <c r="I23" s="196"/>
      <c r="J23" s="196"/>
      <c r="K23" s="196"/>
      <c r="L23" s="196"/>
      <c r="M23" s="196"/>
      <c r="N23" s="196"/>
      <c r="O23" s="196"/>
      <c r="P23" s="196">
        <v>6000</v>
      </c>
      <c r="Q23" s="138">
        <f t="shared" si="0"/>
        <v>6000</v>
      </c>
      <c r="R23" s="114">
        <f t="shared" si="1"/>
        <v>0</v>
      </c>
      <c r="S23" s="161"/>
    </row>
    <row r="24" spans="1:19" s="16" customFormat="1" ht="24">
      <c r="A24" s="2" t="s">
        <v>42</v>
      </c>
      <c r="B24" s="3" t="s">
        <v>5</v>
      </c>
      <c r="C24" s="4" t="s">
        <v>43</v>
      </c>
      <c r="D24" s="5" t="s">
        <v>5</v>
      </c>
      <c r="E24" s="6" t="s">
        <v>7</v>
      </c>
      <c r="F24" s="64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79">
        <f t="shared" si="0"/>
        <v>0</v>
      </c>
      <c r="R24" s="151">
        <f t="shared" si="1"/>
        <v>6000</v>
      </c>
      <c r="S24" s="160"/>
    </row>
    <row r="25" spans="1:19" s="16" customFormat="1" ht="24">
      <c r="A25" s="2" t="s">
        <v>44</v>
      </c>
      <c r="B25" s="3" t="s">
        <v>45</v>
      </c>
      <c r="C25" s="4" t="s">
        <v>46</v>
      </c>
      <c r="D25" s="5" t="s">
        <v>5</v>
      </c>
      <c r="E25" s="6" t="s">
        <v>7</v>
      </c>
      <c r="F25" s="64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79">
        <f t="shared" si="0"/>
        <v>0</v>
      </c>
      <c r="R25" s="151">
        <f t="shared" si="1"/>
        <v>6000</v>
      </c>
      <c r="S25" s="160"/>
    </row>
    <row r="26" spans="1:19" s="122" customFormat="1" ht="24">
      <c r="A26" s="118" t="s">
        <v>47</v>
      </c>
      <c r="B26" s="154" t="s">
        <v>5</v>
      </c>
      <c r="C26" s="97" t="s">
        <v>48</v>
      </c>
      <c r="D26" s="98" t="s">
        <v>5</v>
      </c>
      <c r="E26" s="194" t="s">
        <v>7</v>
      </c>
      <c r="F26" s="195">
        <v>250</v>
      </c>
      <c r="G26" s="196"/>
      <c r="H26" s="196"/>
      <c r="I26" s="196">
        <f>3853+500</f>
        <v>4353</v>
      </c>
      <c r="J26" s="196">
        <v>250</v>
      </c>
      <c r="K26" s="196"/>
      <c r="L26" s="196">
        <v>1147</v>
      </c>
      <c r="M26" s="196"/>
      <c r="N26" s="196"/>
      <c r="O26" s="196"/>
      <c r="P26" s="196"/>
      <c r="Q26" s="138">
        <f t="shared" si="0"/>
        <v>6000</v>
      </c>
      <c r="R26" s="114">
        <f t="shared" si="1"/>
        <v>0</v>
      </c>
      <c r="S26" s="161"/>
    </row>
    <row r="27" spans="1:19" s="16" customFormat="1" ht="24">
      <c r="A27" s="2" t="s">
        <v>49</v>
      </c>
      <c r="B27" s="3" t="s">
        <v>50</v>
      </c>
      <c r="C27" s="4" t="s">
        <v>51</v>
      </c>
      <c r="D27" s="5" t="s">
        <v>50</v>
      </c>
      <c r="E27" s="6" t="s">
        <v>7</v>
      </c>
      <c r="F27" s="64"/>
      <c r="G27" s="126"/>
      <c r="H27" s="126">
        <v>980</v>
      </c>
      <c r="I27" s="126"/>
      <c r="J27" s="126"/>
      <c r="K27" s="126"/>
      <c r="L27" s="126"/>
      <c r="M27" s="126"/>
      <c r="N27" s="126"/>
      <c r="O27" s="126"/>
      <c r="P27" s="126"/>
      <c r="Q27" s="79">
        <f t="shared" si="0"/>
        <v>980</v>
      </c>
      <c r="R27" s="151">
        <f t="shared" si="1"/>
        <v>5020</v>
      </c>
      <c r="S27" s="160"/>
    </row>
    <row r="28" spans="1:19" s="37" customFormat="1" ht="24">
      <c r="A28" s="2" t="s">
        <v>52</v>
      </c>
      <c r="B28" s="3" t="s">
        <v>5</v>
      </c>
      <c r="C28" s="4" t="s">
        <v>53</v>
      </c>
      <c r="D28" s="5" t="s">
        <v>5</v>
      </c>
      <c r="E28" s="6" t="s">
        <v>7</v>
      </c>
      <c r="F28" s="60"/>
      <c r="G28" s="129">
        <v>1455</v>
      </c>
      <c r="H28" s="129"/>
      <c r="I28" s="129"/>
      <c r="J28" s="129"/>
      <c r="K28" s="129"/>
      <c r="L28" s="129"/>
      <c r="M28" s="129"/>
      <c r="N28" s="129"/>
      <c r="O28" s="129"/>
      <c r="P28" s="129"/>
      <c r="Q28" s="79">
        <f t="shared" si="0"/>
        <v>1455</v>
      </c>
      <c r="R28" s="151">
        <f t="shared" si="1"/>
        <v>4545</v>
      </c>
      <c r="S28" s="160"/>
    </row>
    <row r="29" spans="1:19" s="37" customFormat="1" ht="24">
      <c r="A29" s="2" t="s">
        <v>54</v>
      </c>
      <c r="B29" s="3" t="s">
        <v>5</v>
      </c>
      <c r="C29" s="4" t="s">
        <v>55</v>
      </c>
      <c r="D29" s="5" t="s">
        <v>5</v>
      </c>
      <c r="E29" s="6" t="s">
        <v>7</v>
      </c>
      <c r="F29" s="64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79">
        <f t="shared" si="0"/>
        <v>0</v>
      </c>
      <c r="R29" s="151">
        <f t="shared" si="1"/>
        <v>6000</v>
      </c>
      <c r="S29" s="160"/>
    </row>
    <row r="30" spans="1:19" s="37" customFormat="1" ht="24">
      <c r="A30" s="2"/>
      <c r="B30" s="3" t="s">
        <v>5</v>
      </c>
      <c r="C30" s="4" t="s">
        <v>892</v>
      </c>
      <c r="D30" s="5" t="s">
        <v>5</v>
      </c>
      <c r="E30" s="6" t="s">
        <v>7</v>
      </c>
      <c r="F30" s="64"/>
      <c r="G30" s="126"/>
      <c r="H30" s="126"/>
      <c r="I30" s="126"/>
      <c r="J30" s="126"/>
      <c r="K30" s="126"/>
      <c r="L30" s="126"/>
      <c r="M30" s="126"/>
      <c r="N30" s="126">
        <f>820+820+400</f>
        <v>2040</v>
      </c>
      <c r="O30" s="126">
        <v>2180</v>
      </c>
      <c r="P30" s="126">
        <f>280+500+650</f>
        <v>1430</v>
      </c>
      <c r="Q30" s="79">
        <f t="shared" si="0"/>
        <v>5650</v>
      </c>
      <c r="R30" s="151">
        <f t="shared" si="1"/>
        <v>350</v>
      </c>
      <c r="S30" s="160"/>
    </row>
    <row r="31" spans="1:19" s="122" customFormat="1" ht="24">
      <c r="A31" s="118" t="s">
        <v>56</v>
      </c>
      <c r="B31" s="119" t="s">
        <v>5</v>
      </c>
      <c r="C31" s="105" t="s">
        <v>57</v>
      </c>
      <c r="D31" s="106" t="s">
        <v>5</v>
      </c>
      <c r="E31" s="107" t="s">
        <v>58</v>
      </c>
      <c r="F31" s="164"/>
      <c r="G31" s="165">
        <f>200+300</f>
        <v>500</v>
      </c>
      <c r="H31" s="165"/>
      <c r="I31" s="165">
        <f>240+360+650</f>
        <v>1250</v>
      </c>
      <c r="J31" s="165">
        <v>2760</v>
      </c>
      <c r="K31" s="165">
        <f>250+360</f>
        <v>610</v>
      </c>
      <c r="L31" s="165"/>
      <c r="M31" s="165">
        <v>880</v>
      </c>
      <c r="N31" s="165"/>
      <c r="O31" s="165"/>
      <c r="P31" s="165"/>
      <c r="Q31" s="138">
        <f t="shared" si="0"/>
        <v>6000</v>
      </c>
      <c r="R31" s="114">
        <f t="shared" si="1"/>
        <v>0</v>
      </c>
      <c r="S31" s="161"/>
    </row>
    <row r="32" spans="1:19" s="16" customFormat="1" ht="24">
      <c r="A32" s="2" t="s">
        <v>59</v>
      </c>
      <c r="B32" s="3" t="s">
        <v>5</v>
      </c>
      <c r="C32" s="4" t="s">
        <v>60</v>
      </c>
      <c r="D32" s="5" t="s">
        <v>5</v>
      </c>
      <c r="E32" s="11" t="s">
        <v>58</v>
      </c>
      <c r="F32" s="66"/>
      <c r="G32" s="128"/>
      <c r="H32" s="128"/>
      <c r="I32" s="128">
        <v>1630</v>
      </c>
      <c r="J32" s="128"/>
      <c r="K32" s="128"/>
      <c r="L32" s="128"/>
      <c r="M32" s="128"/>
      <c r="N32" s="128"/>
      <c r="O32" s="128"/>
      <c r="P32" s="128"/>
      <c r="Q32" s="79">
        <f t="shared" si="0"/>
        <v>1630</v>
      </c>
      <c r="R32" s="151">
        <f t="shared" si="1"/>
        <v>4370</v>
      </c>
      <c r="S32" s="160"/>
    </row>
    <row r="33" spans="1:19" s="16" customFormat="1" ht="24">
      <c r="A33" s="2" t="s">
        <v>61</v>
      </c>
      <c r="B33" s="3" t="s">
        <v>5</v>
      </c>
      <c r="C33" s="4" t="s">
        <v>62</v>
      </c>
      <c r="D33" s="5" t="s">
        <v>5</v>
      </c>
      <c r="E33" s="10" t="s">
        <v>58</v>
      </c>
      <c r="F33" s="6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79">
        <f t="shared" si="0"/>
        <v>0</v>
      </c>
      <c r="R33" s="151">
        <f t="shared" si="1"/>
        <v>6000</v>
      </c>
      <c r="S33" s="160"/>
    </row>
    <row r="34" spans="1:19" s="16" customFormat="1" ht="24">
      <c r="A34" s="2" t="s">
        <v>63</v>
      </c>
      <c r="B34" s="3" t="s">
        <v>5</v>
      </c>
      <c r="C34" s="4" t="s">
        <v>64</v>
      </c>
      <c r="D34" s="5" t="s">
        <v>5</v>
      </c>
      <c r="E34" s="10" t="s">
        <v>58</v>
      </c>
      <c r="F34" s="6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79">
        <f t="shared" si="0"/>
        <v>0</v>
      </c>
      <c r="R34" s="151">
        <f t="shared" si="1"/>
        <v>6000</v>
      </c>
      <c r="S34" s="160"/>
    </row>
    <row r="35" spans="1:19" s="122" customFormat="1" ht="24">
      <c r="A35" s="118" t="s">
        <v>65</v>
      </c>
      <c r="B35" s="154" t="s">
        <v>5</v>
      </c>
      <c r="C35" s="97" t="s">
        <v>66</v>
      </c>
      <c r="D35" s="98" t="s">
        <v>5</v>
      </c>
      <c r="E35" s="107" t="s">
        <v>58</v>
      </c>
      <c r="F35" s="164"/>
      <c r="G35" s="165"/>
      <c r="H35" s="165"/>
      <c r="I35" s="165"/>
      <c r="J35" s="165"/>
      <c r="K35" s="165"/>
      <c r="L35" s="165"/>
      <c r="M35" s="165">
        <v>6000</v>
      </c>
      <c r="N35" s="165"/>
      <c r="O35" s="165"/>
      <c r="P35" s="165"/>
      <c r="Q35" s="138">
        <f t="shared" si="0"/>
        <v>6000</v>
      </c>
      <c r="R35" s="114">
        <f t="shared" si="1"/>
        <v>0</v>
      </c>
      <c r="S35" s="161" t="s">
        <v>890</v>
      </c>
    </row>
    <row r="36" spans="1:19" s="16" customFormat="1" ht="24">
      <c r="A36" s="2" t="s">
        <v>67</v>
      </c>
      <c r="B36" s="3" t="s">
        <v>5</v>
      </c>
      <c r="C36" s="4" t="s">
        <v>68</v>
      </c>
      <c r="D36" s="5" t="s">
        <v>5</v>
      </c>
      <c r="E36" s="10" t="s">
        <v>58</v>
      </c>
      <c r="F36" s="65"/>
      <c r="G36" s="127"/>
      <c r="H36" s="127"/>
      <c r="I36" s="127">
        <v>830</v>
      </c>
      <c r="J36" s="127"/>
      <c r="K36" s="127"/>
      <c r="L36" s="127">
        <f>400+2344</f>
        <v>2744</v>
      </c>
      <c r="M36" s="127">
        <v>2408</v>
      </c>
      <c r="N36" s="127"/>
      <c r="O36" s="127"/>
      <c r="P36" s="127"/>
      <c r="Q36" s="79">
        <f t="shared" si="0"/>
        <v>5982</v>
      </c>
      <c r="R36" s="151">
        <f t="shared" si="1"/>
        <v>18</v>
      </c>
      <c r="S36" s="160"/>
    </row>
    <row r="37" spans="1:19" s="16" customFormat="1" ht="24">
      <c r="A37" s="2" t="s">
        <v>69</v>
      </c>
      <c r="B37" s="3" t="s">
        <v>5</v>
      </c>
      <c r="C37" s="4" t="s">
        <v>70</v>
      </c>
      <c r="D37" s="5" t="s">
        <v>5</v>
      </c>
      <c r="E37" s="10" t="s">
        <v>58</v>
      </c>
      <c r="F37" s="65"/>
      <c r="G37" s="127"/>
      <c r="H37" s="127">
        <v>2050</v>
      </c>
      <c r="I37" s="127">
        <v>1730</v>
      </c>
      <c r="J37" s="127"/>
      <c r="K37" s="127">
        <v>1155</v>
      </c>
      <c r="L37" s="127"/>
      <c r="M37" s="127"/>
      <c r="N37" s="127"/>
      <c r="O37" s="127"/>
      <c r="P37" s="127"/>
      <c r="Q37" s="79">
        <f t="shared" si="0"/>
        <v>4935</v>
      </c>
      <c r="R37" s="151">
        <f t="shared" si="1"/>
        <v>1065</v>
      </c>
      <c r="S37" s="160"/>
    </row>
    <row r="38" spans="1:19" s="16" customFormat="1" ht="24">
      <c r="A38" s="2" t="s">
        <v>71</v>
      </c>
      <c r="B38" s="7" t="s">
        <v>5</v>
      </c>
      <c r="C38" s="8" t="s">
        <v>72</v>
      </c>
      <c r="D38" s="9" t="s">
        <v>5</v>
      </c>
      <c r="E38" s="10" t="s">
        <v>58</v>
      </c>
      <c r="F38" s="65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79">
        <f t="shared" si="0"/>
        <v>0</v>
      </c>
      <c r="R38" s="151">
        <f t="shared" si="1"/>
        <v>6000</v>
      </c>
      <c r="S38" s="160"/>
    </row>
    <row r="39" spans="1:19" s="122" customFormat="1" ht="24">
      <c r="A39" s="118" t="s">
        <v>73</v>
      </c>
      <c r="B39" s="232" t="s">
        <v>5</v>
      </c>
      <c r="C39" s="233" t="s">
        <v>74</v>
      </c>
      <c r="D39" s="234" t="s">
        <v>5</v>
      </c>
      <c r="E39" s="235" t="s">
        <v>58</v>
      </c>
      <c r="F39" s="236"/>
      <c r="G39" s="237"/>
      <c r="H39" s="237"/>
      <c r="I39" s="237"/>
      <c r="J39" s="237"/>
      <c r="K39" s="237"/>
      <c r="L39" s="237"/>
      <c r="M39" s="237"/>
      <c r="N39" s="237"/>
      <c r="O39" s="237">
        <v>6000</v>
      </c>
      <c r="P39" s="237"/>
      <c r="Q39" s="138">
        <f t="shared" si="0"/>
        <v>6000</v>
      </c>
      <c r="R39" s="114">
        <f t="shared" si="1"/>
        <v>0</v>
      </c>
      <c r="S39" s="161"/>
    </row>
    <row r="40" spans="1:19" s="16" customFormat="1" ht="24">
      <c r="A40" s="2" t="s">
        <v>75</v>
      </c>
      <c r="B40" s="85" t="s">
        <v>5</v>
      </c>
      <c r="C40" s="86" t="s">
        <v>76</v>
      </c>
      <c r="D40" s="14" t="s">
        <v>5</v>
      </c>
      <c r="E40" s="15" t="s">
        <v>58</v>
      </c>
      <c r="F40" s="68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79">
        <f t="shared" si="0"/>
        <v>0</v>
      </c>
      <c r="R40" s="151">
        <f t="shared" si="1"/>
        <v>6000</v>
      </c>
      <c r="S40" s="160"/>
    </row>
    <row r="41" spans="1:19" s="16" customFormat="1" ht="24">
      <c r="A41" s="2" t="s">
        <v>77</v>
      </c>
      <c r="B41" s="3" t="s">
        <v>5</v>
      </c>
      <c r="C41" s="4" t="s">
        <v>78</v>
      </c>
      <c r="D41" s="5" t="s">
        <v>5</v>
      </c>
      <c r="E41" s="10" t="s">
        <v>58</v>
      </c>
      <c r="F41" s="65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79">
        <f t="shared" si="0"/>
        <v>0</v>
      </c>
      <c r="R41" s="151">
        <f t="shared" si="1"/>
        <v>6000</v>
      </c>
      <c r="S41" s="160"/>
    </row>
    <row r="42" spans="1:19" s="16" customFormat="1" ht="24">
      <c r="A42" s="2" t="s">
        <v>79</v>
      </c>
      <c r="B42" s="3" t="s">
        <v>5</v>
      </c>
      <c r="C42" s="4" t="s">
        <v>80</v>
      </c>
      <c r="D42" s="5" t="s">
        <v>5</v>
      </c>
      <c r="E42" s="10" t="s">
        <v>58</v>
      </c>
      <c r="F42" s="65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79">
        <f t="shared" si="0"/>
        <v>0</v>
      </c>
      <c r="R42" s="151">
        <f t="shared" si="1"/>
        <v>6000</v>
      </c>
      <c r="S42" s="160"/>
    </row>
    <row r="43" spans="1:19" s="16" customFormat="1" ht="24">
      <c r="A43" s="2" t="s">
        <v>81</v>
      </c>
      <c r="B43" s="3" t="s">
        <v>5</v>
      </c>
      <c r="C43" s="4" t="s">
        <v>82</v>
      </c>
      <c r="D43" s="5" t="s">
        <v>5</v>
      </c>
      <c r="E43" s="10" t="s">
        <v>58</v>
      </c>
      <c r="F43" s="65"/>
      <c r="G43" s="127"/>
      <c r="H43" s="127"/>
      <c r="I43" s="127"/>
      <c r="J43" s="127"/>
      <c r="K43" s="127"/>
      <c r="L43" s="127"/>
      <c r="M43" s="127">
        <v>5660</v>
      </c>
      <c r="N43" s="127"/>
      <c r="O43" s="127"/>
      <c r="P43" s="127"/>
      <c r="Q43" s="79">
        <f t="shared" si="0"/>
        <v>5660</v>
      </c>
      <c r="R43" s="151">
        <f t="shared" si="1"/>
        <v>340</v>
      </c>
      <c r="S43" s="160"/>
    </row>
    <row r="44" spans="1:19" s="16" customFormat="1" ht="24">
      <c r="A44" s="2" t="s">
        <v>83</v>
      </c>
      <c r="B44" s="3" t="s">
        <v>5</v>
      </c>
      <c r="C44" s="4" t="s">
        <v>84</v>
      </c>
      <c r="D44" s="5" t="s">
        <v>5</v>
      </c>
      <c r="E44" s="10" t="s">
        <v>58</v>
      </c>
      <c r="F44" s="65"/>
      <c r="G44" s="127">
        <v>1480</v>
      </c>
      <c r="H44" s="127"/>
      <c r="I44" s="127">
        <v>1600</v>
      </c>
      <c r="J44" s="127"/>
      <c r="K44" s="127"/>
      <c r="L44" s="127">
        <v>2220</v>
      </c>
      <c r="M44" s="127"/>
      <c r="N44" s="127"/>
      <c r="O44" s="127"/>
      <c r="P44" s="127"/>
      <c r="Q44" s="79">
        <f t="shared" si="0"/>
        <v>5300</v>
      </c>
      <c r="R44" s="151">
        <f t="shared" si="1"/>
        <v>700</v>
      </c>
      <c r="S44" s="160"/>
    </row>
    <row r="45" spans="1:19" s="122" customFormat="1" ht="24">
      <c r="A45" s="118" t="s">
        <v>85</v>
      </c>
      <c r="B45" s="154" t="s">
        <v>5</v>
      </c>
      <c r="C45" s="97" t="s">
        <v>86</v>
      </c>
      <c r="D45" s="98" t="s">
        <v>5</v>
      </c>
      <c r="E45" s="107" t="s">
        <v>58</v>
      </c>
      <c r="F45" s="164"/>
      <c r="G45" s="165"/>
      <c r="H45" s="165">
        <v>3126</v>
      </c>
      <c r="I45" s="165"/>
      <c r="J45" s="165"/>
      <c r="K45" s="165"/>
      <c r="L45" s="165"/>
      <c r="M45" s="165"/>
      <c r="N45" s="165"/>
      <c r="O45" s="165"/>
      <c r="P45" s="165">
        <v>2874</v>
      </c>
      <c r="Q45" s="138">
        <f t="shared" si="0"/>
        <v>6000</v>
      </c>
      <c r="R45" s="114">
        <f t="shared" si="1"/>
        <v>0</v>
      </c>
      <c r="S45" s="161"/>
    </row>
    <row r="46" spans="1:19" s="16" customFormat="1" ht="24">
      <c r="A46" s="2" t="s">
        <v>87</v>
      </c>
      <c r="B46" s="3" t="s">
        <v>5</v>
      </c>
      <c r="C46" s="8" t="s">
        <v>88</v>
      </c>
      <c r="D46" s="9" t="s">
        <v>5</v>
      </c>
      <c r="E46" s="10" t="s">
        <v>58</v>
      </c>
      <c r="F46" s="65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79">
        <f t="shared" si="0"/>
        <v>0</v>
      </c>
      <c r="R46" s="151">
        <f t="shared" si="1"/>
        <v>6000</v>
      </c>
      <c r="S46" s="160"/>
    </row>
    <row r="47" spans="1:19" s="16" customFormat="1" ht="24">
      <c r="A47" s="2" t="s">
        <v>89</v>
      </c>
      <c r="B47" s="3" t="s">
        <v>5</v>
      </c>
      <c r="C47" s="8" t="s">
        <v>90</v>
      </c>
      <c r="D47" s="9" t="s">
        <v>5</v>
      </c>
      <c r="E47" s="10" t="s">
        <v>58</v>
      </c>
      <c r="F47" s="65"/>
      <c r="G47" s="127"/>
      <c r="H47" s="127"/>
      <c r="I47" s="127"/>
      <c r="J47" s="127"/>
      <c r="K47" s="127"/>
      <c r="L47" s="127"/>
      <c r="M47" s="127">
        <v>1066</v>
      </c>
      <c r="N47" s="127"/>
      <c r="O47" s="127"/>
      <c r="P47" s="127"/>
      <c r="Q47" s="79">
        <f t="shared" si="0"/>
        <v>1066</v>
      </c>
      <c r="R47" s="151">
        <f t="shared" si="1"/>
        <v>4934</v>
      </c>
      <c r="S47" s="160"/>
    </row>
    <row r="48" spans="1:19" s="16" customFormat="1" ht="24">
      <c r="A48" s="2" t="s">
        <v>91</v>
      </c>
      <c r="B48" s="3" t="s">
        <v>5</v>
      </c>
      <c r="C48" s="8" t="s">
        <v>92</v>
      </c>
      <c r="D48" s="9" t="s">
        <v>5</v>
      </c>
      <c r="E48" s="10" t="s">
        <v>58</v>
      </c>
      <c r="F48" s="65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79">
        <f t="shared" si="0"/>
        <v>0</v>
      </c>
      <c r="R48" s="151">
        <f t="shared" si="1"/>
        <v>6000</v>
      </c>
      <c r="S48" s="160"/>
    </row>
    <row r="49" spans="1:19" s="16" customFormat="1" ht="24">
      <c r="A49" s="2" t="s">
        <v>93</v>
      </c>
      <c r="B49" s="3" t="s">
        <v>5</v>
      </c>
      <c r="C49" s="8" t="s">
        <v>94</v>
      </c>
      <c r="D49" s="9" t="s">
        <v>5</v>
      </c>
      <c r="E49" s="10" t="s">
        <v>58</v>
      </c>
      <c r="F49" s="65"/>
      <c r="G49" s="127"/>
      <c r="H49" s="127"/>
      <c r="I49" s="127"/>
      <c r="J49" s="127">
        <v>1000</v>
      </c>
      <c r="K49" s="127"/>
      <c r="L49" s="127"/>
      <c r="M49" s="127"/>
      <c r="N49" s="127"/>
      <c r="O49" s="127"/>
      <c r="P49" s="127">
        <v>2000</v>
      </c>
      <c r="Q49" s="79">
        <f t="shared" si="0"/>
        <v>3000</v>
      </c>
      <c r="R49" s="151">
        <f t="shared" si="1"/>
        <v>3000</v>
      </c>
      <c r="S49" s="160"/>
    </row>
    <row r="50" spans="1:19" s="16" customFormat="1" ht="24">
      <c r="A50" s="2" t="s">
        <v>95</v>
      </c>
      <c r="B50" s="3" t="s">
        <v>5</v>
      </c>
      <c r="C50" s="8" t="s">
        <v>96</v>
      </c>
      <c r="D50" s="9" t="s">
        <v>5</v>
      </c>
      <c r="E50" s="10" t="s">
        <v>58</v>
      </c>
      <c r="F50" s="65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79">
        <f t="shared" si="0"/>
        <v>0</v>
      </c>
      <c r="R50" s="151">
        <f t="shared" si="1"/>
        <v>6000</v>
      </c>
      <c r="S50" s="160"/>
    </row>
    <row r="51" spans="1:19" s="16" customFormat="1" ht="24">
      <c r="A51" s="2" t="s">
        <v>97</v>
      </c>
      <c r="B51" s="3" t="s">
        <v>5</v>
      </c>
      <c r="C51" s="8" t="s">
        <v>98</v>
      </c>
      <c r="D51" s="9" t="s">
        <v>5</v>
      </c>
      <c r="E51" s="10" t="s">
        <v>58</v>
      </c>
      <c r="F51" s="65">
        <v>740</v>
      </c>
      <c r="G51" s="127">
        <v>710</v>
      </c>
      <c r="H51" s="127"/>
      <c r="I51" s="127"/>
      <c r="J51" s="127">
        <v>2255</v>
      </c>
      <c r="K51" s="127"/>
      <c r="L51" s="127"/>
      <c r="M51" s="127">
        <v>900</v>
      </c>
      <c r="N51" s="127"/>
      <c r="O51" s="127">
        <v>860</v>
      </c>
      <c r="P51" s="127"/>
      <c r="Q51" s="79">
        <f t="shared" si="0"/>
        <v>5465</v>
      </c>
      <c r="R51" s="151">
        <f t="shared" si="1"/>
        <v>535</v>
      </c>
      <c r="S51" s="160"/>
    </row>
    <row r="52" spans="1:19" s="16" customFormat="1" ht="24">
      <c r="A52" s="2" t="s">
        <v>99</v>
      </c>
      <c r="B52" s="3" t="s">
        <v>5</v>
      </c>
      <c r="C52" s="8" t="s">
        <v>100</v>
      </c>
      <c r="D52" s="9" t="s">
        <v>5</v>
      </c>
      <c r="E52" s="10" t="s">
        <v>58</v>
      </c>
      <c r="F52" s="65"/>
      <c r="G52" s="127">
        <v>5270</v>
      </c>
      <c r="H52" s="127"/>
      <c r="I52" s="127"/>
      <c r="J52" s="127"/>
      <c r="K52" s="127"/>
      <c r="L52" s="127"/>
      <c r="M52" s="127"/>
      <c r="N52" s="127"/>
      <c r="O52" s="127"/>
      <c r="P52" s="127"/>
      <c r="Q52" s="79">
        <f t="shared" si="0"/>
        <v>5270</v>
      </c>
      <c r="R52" s="151">
        <f t="shared" si="1"/>
        <v>730</v>
      </c>
      <c r="S52" s="160"/>
    </row>
    <row r="53" spans="1:19" s="122" customFormat="1" ht="24">
      <c r="A53" s="118" t="s">
        <v>101</v>
      </c>
      <c r="B53" s="154" t="s">
        <v>5</v>
      </c>
      <c r="C53" s="105" t="s">
        <v>102</v>
      </c>
      <c r="D53" s="106" t="s">
        <v>5</v>
      </c>
      <c r="E53" s="107" t="s">
        <v>58</v>
      </c>
      <c r="F53" s="164"/>
      <c r="G53" s="165"/>
      <c r="H53" s="165"/>
      <c r="I53" s="165"/>
      <c r="J53" s="165">
        <v>6000</v>
      </c>
      <c r="K53" s="165"/>
      <c r="L53" s="165"/>
      <c r="M53" s="165"/>
      <c r="N53" s="165"/>
      <c r="O53" s="165"/>
      <c r="P53" s="165"/>
      <c r="Q53" s="138">
        <f t="shared" si="0"/>
        <v>6000</v>
      </c>
      <c r="R53" s="114">
        <f t="shared" si="1"/>
        <v>0</v>
      </c>
      <c r="S53" s="161"/>
    </row>
    <row r="54" spans="1:19" s="16" customFormat="1" ht="24">
      <c r="A54" s="2" t="s">
        <v>103</v>
      </c>
      <c r="B54" s="3" t="s">
        <v>5</v>
      </c>
      <c r="C54" s="8" t="s">
        <v>104</v>
      </c>
      <c r="D54" s="9" t="s">
        <v>5</v>
      </c>
      <c r="E54" s="10" t="s">
        <v>58</v>
      </c>
      <c r="F54" s="65"/>
      <c r="G54" s="127">
        <f>1400+1420</f>
        <v>2820</v>
      </c>
      <c r="H54" s="127"/>
      <c r="I54" s="127"/>
      <c r="J54" s="127"/>
      <c r="K54" s="127"/>
      <c r="L54" s="127"/>
      <c r="M54" s="127"/>
      <c r="N54" s="127"/>
      <c r="O54" s="127"/>
      <c r="P54" s="127">
        <v>400</v>
      </c>
      <c r="Q54" s="79">
        <f t="shared" si="0"/>
        <v>3220</v>
      </c>
      <c r="R54" s="151">
        <f t="shared" si="1"/>
        <v>2780</v>
      </c>
      <c r="S54" s="160"/>
    </row>
    <row r="55" spans="1:19" s="16" customFormat="1" ht="24">
      <c r="A55" s="2" t="s">
        <v>105</v>
      </c>
      <c r="B55" s="3" t="s">
        <v>5</v>
      </c>
      <c r="C55" s="8" t="s">
        <v>106</v>
      </c>
      <c r="D55" s="9" t="s">
        <v>5</v>
      </c>
      <c r="E55" s="10" t="s">
        <v>58</v>
      </c>
      <c r="F55" s="65"/>
      <c r="G55" s="127"/>
      <c r="H55" s="127"/>
      <c r="I55" s="127"/>
      <c r="J55" s="127"/>
      <c r="K55" s="127"/>
      <c r="L55" s="127"/>
      <c r="M55" s="127"/>
      <c r="N55" s="127">
        <f>2680+620</f>
        <v>3300</v>
      </c>
      <c r="O55" s="127"/>
      <c r="P55" s="127"/>
      <c r="Q55" s="79">
        <f t="shared" si="0"/>
        <v>3300</v>
      </c>
      <c r="R55" s="151">
        <f t="shared" si="1"/>
        <v>2700</v>
      </c>
      <c r="S55" s="160"/>
    </row>
    <row r="56" spans="1:19" s="16" customFormat="1" ht="24">
      <c r="A56" s="2" t="s">
        <v>107</v>
      </c>
      <c r="B56" s="3" t="s">
        <v>5</v>
      </c>
      <c r="C56" s="8" t="s">
        <v>108</v>
      </c>
      <c r="D56" s="9" t="s">
        <v>5</v>
      </c>
      <c r="E56" s="10" t="s">
        <v>58</v>
      </c>
      <c r="F56" s="65"/>
      <c r="G56" s="127">
        <f>3606+780</f>
        <v>4386</v>
      </c>
      <c r="H56" s="127"/>
      <c r="I56" s="127">
        <f>400+550</f>
        <v>950</v>
      </c>
      <c r="J56" s="127"/>
      <c r="K56" s="127"/>
      <c r="L56" s="127"/>
      <c r="M56" s="127"/>
      <c r="N56" s="127"/>
      <c r="O56" s="127"/>
      <c r="P56" s="127"/>
      <c r="Q56" s="79">
        <f t="shared" si="0"/>
        <v>5336</v>
      </c>
      <c r="R56" s="151">
        <f t="shared" si="1"/>
        <v>664</v>
      </c>
      <c r="S56" s="160"/>
    </row>
    <row r="57" spans="1:19" s="122" customFormat="1" ht="24">
      <c r="A57" s="118" t="s">
        <v>109</v>
      </c>
      <c r="B57" s="154" t="s">
        <v>50</v>
      </c>
      <c r="C57" s="97" t="s">
        <v>110</v>
      </c>
      <c r="D57" s="98" t="s">
        <v>50</v>
      </c>
      <c r="E57" s="155" t="s">
        <v>111</v>
      </c>
      <c r="F57" s="156"/>
      <c r="G57" s="157">
        <f>3000+3000</f>
        <v>6000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38">
        <f t="shared" si="0"/>
        <v>6000</v>
      </c>
      <c r="R57" s="114">
        <f t="shared" si="1"/>
        <v>0</v>
      </c>
      <c r="S57" s="161"/>
    </row>
    <row r="58" spans="1:19" s="16" customFormat="1" ht="24">
      <c r="A58" s="2" t="s">
        <v>112</v>
      </c>
      <c r="B58" s="7" t="s">
        <v>5</v>
      </c>
      <c r="C58" s="8" t="s">
        <v>113</v>
      </c>
      <c r="D58" s="9" t="s">
        <v>5</v>
      </c>
      <c r="E58" s="18" t="s">
        <v>111</v>
      </c>
      <c r="F58" s="48"/>
      <c r="G58" s="132"/>
      <c r="H58" s="132"/>
      <c r="I58" s="132"/>
      <c r="J58" s="132"/>
      <c r="K58" s="132"/>
      <c r="L58" s="132"/>
      <c r="M58" s="132"/>
      <c r="N58" s="132"/>
      <c r="O58" s="132">
        <v>1100</v>
      </c>
      <c r="P58" s="132"/>
      <c r="Q58" s="79">
        <f t="shared" si="0"/>
        <v>1100</v>
      </c>
      <c r="R58" s="151">
        <f t="shared" si="1"/>
        <v>4900</v>
      </c>
      <c r="S58" s="160"/>
    </row>
    <row r="59" spans="1:19" s="16" customFormat="1" ht="24">
      <c r="A59" s="2" t="s">
        <v>114</v>
      </c>
      <c r="B59" s="3" t="s">
        <v>5</v>
      </c>
      <c r="C59" s="4" t="s">
        <v>115</v>
      </c>
      <c r="D59" s="5" t="s">
        <v>5</v>
      </c>
      <c r="E59" s="17" t="s">
        <v>111</v>
      </c>
      <c r="F59" s="47"/>
      <c r="G59" s="78"/>
      <c r="H59" s="78"/>
      <c r="I59" s="78"/>
      <c r="J59" s="78"/>
      <c r="K59" s="78"/>
      <c r="L59" s="78"/>
      <c r="M59" s="78"/>
      <c r="N59" s="78"/>
      <c r="O59" s="78">
        <v>1510</v>
      </c>
      <c r="P59" s="78"/>
      <c r="Q59" s="79">
        <f t="shared" si="0"/>
        <v>1510</v>
      </c>
      <c r="R59" s="151">
        <f t="shared" si="1"/>
        <v>4490</v>
      </c>
      <c r="S59" s="160"/>
    </row>
    <row r="60" spans="1:19" s="122" customFormat="1" ht="24">
      <c r="A60" s="118" t="s">
        <v>116</v>
      </c>
      <c r="B60" s="119" t="s">
        <v>5</v>
      </c>
      <c r="C60" s="105" t="s">
        <v>117</v>
      </c>
      <c r="D60" s="106" t="s">
        <v>5</v>
      </c>
      <c r="E60" s="120" t="s">
        <v>111</v>
      </c>
      <c r="F60" s="121">
        <v>1155</v>
      </c>
      <c r="G60" s="137">
        <v>2399</v>
      </c>
      <c r="H60" s="137">
        <v>1811</v>
      </c>
      <c r="I60" s="137">
        <v>635</v>
      </c>
      <c r="J60" s="137"/>
      <c r="K60" s="137"/>
      <c r="L60" s="137"/>
      <c r="M60" s="137"/>
      <c r="N60" s="137"/>
      <c r="O60" s="137"/>
      <c r="P60" s="137"/>
      <c r="Q60" s="138">
        <f t="shared" si="0"/>
        <v>6000</v>
      </c>
      <c r="R60" s="114">
        <f t="shared" si="1"/>
        <v>0</v>
      </c>
      <c r="S60" s="161"/>
    </row>
    <row r="61" spans="1:19" s="16" customFormat="1" ht="24">
      <c r="A61" s="2" t="s">
        <v>118</v>
      </c>
      <c r="B61" s="3" t="s">
        <v>5</v>
      </c>
      <c r="C61" s="4" t="s">
        <v>119</v>
      </c>
      <c r="D61" s="5" t="s">
        <v>5</v>
      </c>
      <c r="E61" s="17" t="s">
        <v>111</v>
      </c>
      <c r="F61" s="47"/>
      <c r="G61" s="78"/>
      <c r="H61" s="78"/>
      <c r="I61" s="78"/>
      <c r="J61" s="78"/>
      <c r="K61" s="78"/>
      <c r="L61" s="78"/>
      <c r="M61" s="78"/>
      <c r="N61" s="78"/>
      <c r="O61" s="78">
        <v>5650</v>
      </c>
      <c r="P61" s="78"/>
      <c r="Q61" s="79">
        <f t="shared" si="0"/>
        <v>5650</v>
      </c>
      <c r="R61" s="151">
        <f t="shared" si="1"/>
        <v>350</v>
      </c>
      <c r="S61" s="160"/>
    </row>
    <row r="62" spans="1:19" s="16" customFormat="1" ht="24">
      <c r="A62" s="2" t="s">
        <v>120</v>
      </c>
      <c r="B62" s="30" t="s">
        <v>5</v>
      </c>
      <c r="C62" s="84" t="s">
        <v>121</v>
      </c>
      <c r="D62" s="9" t="s">
        <v>5</v>
      </c>
      <c r="E62" s="18" t="s">
        <v>111</v>
      </c>
      <c r="F62" s="48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79">
        <f t="shared" si="0"/>
        <v>0</v>
      </c>
      <c r="R62" s="151">
        <f t="shared" si="1"/>
        <v>6000</v>
      </c>
      <c r="S62" s="160"/>
    </row>
    <row r="63" spans="1:19" s="16" customFormat="1" ht="24">
      <c r="A63" s="2" t="s">
        <v>122</v>
      </c>
      <c r="B63" s="30" t="s">
        <v>5</v>
      </c>
      <c r="C63" s="84" t="s">
        <v>123</v>
      </c>
      <c r="D63" s="9" t="s">
        <v>5</v>
      </c>
      <c r="E63" s="18" t="s">
        <v>111</v>
      </c>
      <c r="F63" s="48"/>
      <c r="G63" s="132"/>
      <c r="H63" s="132"/>
      <c r="I63" s="132"/>
      <c r="J63" s="132"/>
      <c r="K63" s="132"/>
      <c r="L63" s="132"/>
      <c r="M63" s="132">
        <v>860</v>
      </c>
      <c r="N63" s="132">
        <v>4200</v>
      </c>
      <c r="O63" s="132">
        <v>780</v>
      </c>
      <c r="P63" s="132"/>
      <c r="Q63" s="79">
        <f t="shared" si="0"/>
        <v>5840</v>
      </c>
      <c r="R63" s="151">
        <f t="shared" si="1"/>
        <v>160</v>
      </c>
      <c r="S63" s="160"/>
    </row>
    <row r="64" spans="1:19" s="16" customFormat="1" ht="24">
      <c r="A64" s="2" t="s">
        <v>124</v>
      </c>
      <c r="B64" s="30" t="s">
        <v>5</v>
      </c>
      <c r="C64" s="84" t="s">
        <v>125</v>
      </c>
      <c r="D64" s="9" t="s">
        <v>5</v>
      </c>
      <c r="E64" s="18" t="s">
        <v>111</v>
      </c>
      <c r="F64" s="48"/>
      <c r="G64" s="132"/>
      <c r="H64" s="132"/>
      <c r="I64" s="132"/>
      <c r="J64" s="132"/>
      <c r="K64" s="132"/>
      <c r="L64" s="132"/>
      <c r="M64" s="132"/>
      <c r="N64" s="132">
        <f>4074+1920</f>
        <v>5994</v>
      </c>
      <c r="O64" s="132"/>
      <c r="P64" s="132"/>
      <c r="Q64" s="79">
        <f t="shared" si="0"/>
        <v>5994</v>
      </c>
      <c r="R64" s="151">
        <f t="shared" si="1"/>
        <v>6</v>
      </c>
      <c r="S64" s="160"/>
    </row>
    <row r="65" spans="1:19" s="122" customFormat="1" ht="24">
      <c r="A65" s="118" t="s">
        <v>126</v>
      </c>
      <c r="B65" s="96" t="s">
        <v>5</v>
      </c>
      <c r="C65" s="177" t="s">
        <v>127</v>
      </c>
      <c r="D65" s="106" t="s">
        <v>5</v>
      </c>
      <c r="E65" s="120" t="s">
        <v>111</v>
      </c>
      <c r="F65" s="121"/>
      <c r="G65" s="137"/>
      <c r="H65" s="137"/>
      <c r="I65" s="137"/>
      <c r="J65" s="137">
        <f>1518+940</f>
        <v>2458</v>
      </c>
      <c r="K65" s="137">
        <f>790+750</f>
        <v>1540</v>
      </c>
      <c r="L65" s="137">
        <f>730+790+482</f>
        <v>2002</v>
      </c>
      <c r="M65" s="137"/>
      <c r="N65" s="137"/>
      <c r="O65" s="137"/>
      <c r="P65" s="137"/>
      <c r="Q65" s="138">
        <f t="shared" si="0"/>
        <v>6000</v>
      </c>
      <c r="R65" s="114">
        <f t="shared" si="1"/>
        <v>0</v>
      </c>
      <c r="S65" s="161"/>
    </row>
    <row r="66" spans="1:19" s="16" customFormat="1" ht="24">
      <c r="A66" s="2" t="s">
        <v>128</v>
      </c>
      <c r="B66" s="30" t="s">
        <v>5</v>
      </c>
      <c r="C66" s="84" t="s">
        <v>129</v>
      </c>
      <c r="D66" s="9" t="s">
        <v>5</v>
      </c>
      <c r="E66" s="18" t="s">
        <v>111</v>
      </c>
      <c r="F66" s="48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79">
        <f t="shared" si="0"/>
        <v>0</v>
      </c>
      <c r="R66" s="151">
        <f t="shared" si="1"/>
        <v>6000</v>
      </c>
      <c r="S66" s="160"/>
    </row>
    <row r="67" spans="1:19" s="16" customFormat="1" ht="24">
      <c r="A67" s="2" t="s">
        <v>130</v>
      </c>
      <c r="B67" s="30" t="s">
        <v>5</v>
      </c>
      <c r="C67" s="84" t="s">
        <v>131</v>
      </c>
      <c r="D67" s="9" t="s">
        <v>5</v>
      </c>
      <c r="E67" s="18" t="s">
        <v>111</v>
      </c>
      <c r="F67" s="48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79">
        <f t="shared" si="0"/>
        <v>0</v>
      </c>
      <c r="R67" s="151">
        <f t="shared" si="1"/>
        <v>6000</v>
      </c>
      <c r="S67" s="160"/>
    </row>
    <row r="68" spans="1:19" s="16" customFormat="1" ht="24">
      <c r="A68" s="2" t="s">
        <v>132</v>
      </c>
      <c r="B68" s="30" t="s">
        <v>5</v>
      </c>
      <c r="C68" s="84" t="s">
        <v>133</v>
      </c>
      <c r="D68" s="9" t="s">
        <v>5</v>
      </c>
      <c r="E68" s="18" t="s">
        <v>111</v>
      </c>
      <c r="F68" s="48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79">
        <f t="shared" si="0"/>
        <v>0</v>
      </c>
      <c r="R68" s="151">
        <f t="shared" si="1"/>
        <v>6000</v>
      </c>
      <c r="S68" s="160"/>
    </row>
    <row r="69" spans="1:19" s="122" customFormat="1" ht="24">
      <c r="A69" s="118" t="s">
        <v>134</v>
      </c>
      <c r="B69" s="96" t="s">
        <v>5</v>
      </c>
      <c r="C69" s="177" t="s">
        <v>135</v>
      </c>
      <c r="D69" s="106" t="s">
        <v>5</v>
      </c>
      <c r="E69" s="120" t="s">
        <v>111</v>
      </c>
      <c r="F69" s="121"/>
      <c r="G69" s="137"/>
      <c r="H69" s="137"/>
      <c r="I69" s="137"/>
      <c r="J69" s="137"/>
      <c r="K69" s="137"/>
      <c r="L69" s="137"/>
      <c r="M69" s="137"/>
      <c r="N69" s="137">
        <v>6000</v>
      </c>
      <c r="O69" s="137"/>
      <c r="P69" s="137"/>
      <c r="Q69" s="138">
        <f t="shared" si="0"/>
        <v>6000</v>
      </c>
      <c r="R69" s="114">
        <f t="shared" si="1"/>
        <v>0</v>
      </c>
      <c r="S69" s="161"/>
    </row>
    <row r="70" spans="1:19" s="16" customFormat="1" ht="24">
      <c r="A70" s="2"/>
      <c r="B70" s="30" t="s">
        <v>5</v>
      </c>
      <c r="C70" s="84" t="s">
        <v>886</v>
      </c>
      <c r="D70" s="9" t="s">
        <v>5</v>
      </c>
      <c r="E70" s="18" t="s">
        <v>111</v>
      </c>
      <c r="F70" s="48"/>
      <c r="G70" s="132"/>
      <c r="H70" s="132"/>
      <c r="I70" s="132"/>
      <c r="J70" s="132"/>
      <c r="K70" s="132"/>
      <c r="L70" s="132">
        <v>730</v>
      </c>
      <c r="M70" s="132"/>
      <c r="N70" s="132"/>
      <c r="O70" s="132">
        <v>3330</v>
      </c>
      <c r="P70" s="132"/>
      <c r="Q70" s="79">
        <f t="shared" si="0"/>
        <v>4060</v>
      </c>
      <c r="R70" s="151">
        <f t="shared" si="1"/>
        <v>1940</v>
      </c>
      <c r="S70" s="160"/>
    </row>
    <row r="71" spans="1:19" s="16" customFormat="1" ht="24">
      <c r="A71" s="2"/>
      <c r="B71" s="30" t="s">
        <v>5</v>
      </c>
      <c r="C71" s="84" t="s">
        <v>887</v>
      </c>
      <c r="D71" s="9" t="s">
        <v>5</v>
      </c>
      <c r="E71" s="18" t="s">
        <v>111</v>
      </c>
      <c r="F71" s="48"/>
      <c r="G71" s="132"/>
      <c r="H71" s="132"/>
      <c r="I71" s="132"/>
      <c r="J71" s="132"/>
      <c r="K71" s="132"/>
      <c r="L71" s="132">
        <v>1435</v>
      </c>
      <c r="M71" s="132"/>
      <c r="N71" s="132"/>
      <c r="O71" s="132">
        <v>2730</v>
      </c>
      <c r="P71" s="132"/>
      <c r="Q71" s="79">
        <f t="shared" si="0"/>
        <v>4165</v>
      </c>
      <c r="R71" s="151">
        <f t="shared" si="1"/>
        <v>1835</v>
      </c>
      <c r="S71" s="160"/>
    </row>
    <row r="72" spans="1:19" s="16" customFormat="1" ht="24">
      <c r="A72" s="2"/>
      <c r="B72" s="30" t="s">
        <v>5</v>
      </c>
      <c r="C72" s="84" t="s">
        <v>893</v>
      </c>
      <c r="D72" s="9" t="s">
        <v>5</v>
      </c>
      <c r="E72" s="18" t="s">
        <v>111</v>
      </c>
      <c r="F72" s="48"/>
      <c r="G72" s="132"/>
      <c r="H72" s="132"/>
      <c r="I72" s="132"/>
      <c r="J72" s="132"/>
      <c r="K72" s="132"/>
      <c r="L72" s="132"/>
      <c r="M72" s="132"/>
      <c r="N72" s="132"/>
      <c r="O72" s="132">
        <v>1450</v>
      </c>
      <c r="P72" s="132"/>
      <c r="Q72" s="79">
        <f t="shared" si="0"/>
        <v>1450</v>
      </c>
      <c r="R72" s="151">
        <f t="shared" si="1"/>
        <v>4550</v>
      </c>
      <c r="S72" s="160"/>
    </row>
    <row r="73" spans="1:19" s="16" customFormat="1" ht="24">
      <c r="A73" s="2"/>
      <c r="B73" s="30" t="s">
        <v>5</v>
      </c>
      <c r="C73" s="84" t="s">
        <v>898</v>
      </c>
      <c r="D73" s="9" t="s">
        <v>5</v>
      </c>
      <c r="E73" s="18" t="s">
        <v>111</v>
      </c>
      <c r="F73" s="48"/>
      <c r="G73" s="132"/>
      <c r="H73" s="132"/>
      <c r="I73" s="132"/>
      <c r="J73" s="132"/>
      <c r="K73" s="132"/>
      <c r="L73" s="132"/>
      <c r="M73" s="132"/>
      <c r="N73" s="132"/>
      <c r="O73" s="132"/>
      <c r="P73" s="132">
        <v>750</v>
      </c>
      <c r="Q73" s="79">
        <f t="shared" si="0"/>
        <v>750</v>
      </c>
      <c r="R73" s="151">
        <f t="shared" si="1"/>
        <v>5250</v>
      </c>
      <c r="S73" s="160"/>
    </row>
    <row r="74" spans="1:19" s="16" customFormat="1" ht="24">
      <c r="A74" s="2" t="s">
        <v>136</v>
      </c>
      <c r="B74" s="3" t="s">
        <v>5</v>
      </c>
      <c r="C74" s="4" t="s">
        <v>137</v>
      </c>
      <c r="D74" s="5" t="s">
        <v>5</v>
      </c>
      <c r="E74" s="11" t="s">
        <v>138</v>
      </c>
      <c r="F74" s="56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79">
        <f t="shared" si="0"/>
        <v>0</v>
      </c>
      <c r="R74" s="151">
        <f t="shared" si="1"/>
        <v>6000</v>
      </c>
      <c r="S74" s="160"/>
    </row>
    <row r="75" spans="1:19" s="16" customFormat="1" ht="24">
      <c r="A75" s="2" t="s">
        <v>139</v>
      </c>
      <c r="B75" s="3" t="s">
        <v>5</v>
      </c>
      <c r="C75" s="4" t="s">
        <v>140</v>
      </c>
      <c r="D75" s="5" t="s">
        <v>5</v>
      </c>
      <c r="E75" s="6" t="s">
        <v>138</v>
      </c>
      <c r="F75" s="60"/>
      <c r="G75" s="129"/>
      <c r="H75" s="129"/>
      <c r="I75" s="129"/>
      <c r="J75" s="129"/>
      <c r="K75" s="129"/>
      <c r="L75" s="129"/>
      <c r="M75" s="129"/>
      <c r="N75" s="129"/>
      <c r="O75" s="129">
        <v>1590</v>
      </c>
      <c r="P75" s="129"/>
      <c r="Q75" s="79">
        <f t="shared" si="0"/>
        <v>1590</v>
      </c>
      <c r="R75" s="151">
        <f t="shared" si="1"/>
        <v>4410</v>
      </c>
      <c r="S75" s="160"/>
    </row>
    <row r="76" spans="1:19" s="16" customFormat="1" ht="24">
      <c r="A76" s="2" t="s">
        <v>141</v>
      </c>
      <c r="B76" s="19" t="s">
        <v>5</v>
      </c>
      <c r="C76" s="20" t="s">
        <v>142</v>
      </c>
      <c r="D76" s="21" t="s">
        <v>5</v>
      </c>
      <c r="E76" s="22" t="s">
        <v>138</v>
      </c>
      <c r="F76" s="70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79">
        <f aca="true" t="shared" si="2" ref="Q76:Q139">SUM(F76:P76)</f>
        <v>0</v>
      </c>
      <c r="R76" s="151">
        <f aca="true" t="shared" si="3" ref="R76:R139">6000-Q76</f>
        <v>6000</v>
      </c>
      <c r="S76" s="160"/>
    </row>
    <row r="77" spans="1:19" s="16" customFormat="1" ht="24">
      <c r="A77" s="2" t="s">
        <v>143</v>
      </c>
      <c r="B77" s="82" t="s">
        <v>5</v>
      </c>
      <c r="C77" s="83" t="s">
        <v>144</v>
      </c>
      <c r="D77" s="14" t="s">
        <v>5</v>
      </c>
      <c r="E77" s="15" t="s">
        <v>138</v>
      </c>
      <c r="F77" s="71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79">
        <f t="shared" si="2"/>
        <v>0</v>
      </c>
      <c r="R77" s="151">
        <f t="shared" si="3"/>
        <v>6000</v>
      </c>
      <c r="S77" s="160"/>
    </row>
    <row r="78" spans="1:19" s="16" customFormat="1" ht="24">
      <c r="A78" s="2" t="s">
        <v>145</v>
      </c>
      <c r="B78" s="7" t="s">
        <v>5</v>
      </c>
      <c r="C78" s="8" t="s">
        <v>146</v>
      </c>
      <c r="D78" s="9" t="s">
        <v>5</v>
      </c>
      <c r="E78" s="10" t="s">
        <v>138</v>
      </c>
      <c r="F78" s="58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79">
        <f t="shared" si="2"/>
        <v>0</v>
      </c>
      <c r="R78" s="151">
        <f t="shared" si="3"/>
        <v>6000</v>
      </c>
      <c r="S78" s="160"/>
    </row>
    <row r="79" spans="1:19" s="122" customFormat="1" ht="24">
      <c r="A79" s="118" t="s">
        <v>147</v>
      </c>
      <c r="B79" s="96" t="s">
        <v>5</v>
      </c>
      <c r="C79" s="177" t="s">
        <v>148</v>
      </c>
      <c r="D79" s="106" t="s">
        <v>5</v>
      </c>
      <c r="E79" s="107" t="s">
        <v>138</v>
      </c>
      <c r="F79" s="108"/>
      <c r="G79" s="145">
        <f>2796.5+650</f>
        <v>3446.5</v>
      </c>
      <c r="H79" s="145"/>
      <c r="I79" s="145">
        <f>1050+1503.5</f>
        <v>2553.5</v>
      </c>
      <c r="J79" s="145"/>
      <c r="K79" s="145"/>
      <c r="L79" s="145"/>
      <c r="M79" s="145"/>
      <c r="N79" s="145"/>
      <c r="O79" s="145"/>
      <c r="P79" s="145"/>
      <c r="Q79" s="138">
        <f t="shared" si="2"/>
        <v>6000</v>
      </c>
      <c r="R79" s="114">
        <f t="shared" si="3"/>
        <v>0</v>
      </c>
      <c r="S79" s="161"/>
    </row>
    <row r="80" spans="1:19" s="16" customFormat="1" ht="24">
      <c r="A80" s="2" t="s">
        <v>149</v>
      </c>
      <c r="B80" s="7" t="s">
        <v>5</v>
      </c>
      <c r="C80" s="8" t="s">
        <v>150</v>
      </c>
      <c r="D80" s="9" t="s">
        <v>5</v>
      </c>
      <c r="E80" s="10" t="s">
        <v>138</v>
      </c>
      <c r="F80" s="58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79">
        <f t="shared" si="2"/>
        <v>0</v>
      </c>
      <c r="R80" s="151">
        <f t="shared" si="3"/>
        <v>6000</v>
      </c>
      <c r="S80" s="160"/>
    </row>
    <row r="81" spans="1:19" s="16" customFormat="1" ht="24">
      <c r="A81" s="2" t="s">
        <v>151</v>
      </c>
      <c r="B81" s="7" t="s">
        <v>5</v>
      </c>
      <c r="C81" s="8" t="s">
        <v>152</v>
      </c>
      <c r="D81" s="9" t="s">
        <v>5</v>
      </c>
      <c r="E81" s="10" t="s">
        <v>138</v>
      </c>
      <c r="F81" s="58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79">
        <f t="shared" si="2"/>
        <v>0</v>
      </c>
      <c r="R81" s="151">
        <f t="shared" si="3"/>
        <v>6000</v>
      </c>
      <c r="S81" s="160"/>
    </row>
    <row r="82" spans="1:19" s="16" customFormat="1" ht="24">
      <c r="A82" s="2" t="s">
        <v>153</v>
      </c>
      <c r="B82" s="3" t="s">
        <v>5</v>
      </c>
      <c r="C82" s="4" t="s">
        <v>154</v>
      </c>
      <c r="D82" s="5" t="s">
        <v>5</v>
      </c>
      <c r="E82" s="11" t="s">
        <v>138</v>
      </c>
      <c r="F82" s="56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79">
        <f t="shared" si="2"/>
        <v>0</v>
      </c>
      <c r="R82" s="151">
        <f t="shared" si="3"/>
        <v>6000</v>
      </c>
      <c r="S82" s="160"/>
    </row>
    <row r="83" spans="1:19" s="16" customFormat="1" ht="24">
      <c r="A83" s="2" t="s">
        <v>155</v>
      </c>
      <c r="B83" s="3" t="s">
        <v>5</v>
      </c>
      <c r="C83" s="4" t="s">
        <v>156</v>
      </c>
      <c r="D83" s="5" t="s">
        <v>5</v>
      </c>
      <c r="E83" s="11" t="s">
        <v>138</v>
      </c>
      <c r="F83" s="56"/>
      <c r="G83" s="133"/>
      <c r="H83" s="133"/>
      <c r="I83" s="133"/>
      <c r="J83" s="133"/>
      <c r="K83" s="133"/>
      <c r="L83" s="133"/>
      <c r="M83" s="133"/>
      <c r="N83" s="133"/>
      <c r="O83" s="133">
        <v>800</v>
      </c>
      <c r="P83" s="133"/>
      <c r="Q83" s="79">
        <f t="shared" si="2"/>
        <v>800</v>
      </c>
      <c r="R83" s="151">
        <f t="shared" si="3"/>
        <v>5200</v>
      </c>
      <c r="S83" s="160"/>
    </row>
    <row r="84" spans="1:19" s="16" customFormat="1" ht="24">
      <c r="A84" s="2" t="s">
        <v>157</v>
      </c>
      <c r="B84" s="3" t="s">
        <v>5</v>
      </c>
      <c r="C84" s="4" t="s">
        <v>158</v>
      </c>
      <c r="D84" s="5" t="s">
        <v>5</v>
      </c>
      <c r="E84" s="11" t="s">
        <v>138</v>
      </c>
      <c r="F84" s="56"/>
      <c r="G84" s="133"/>
      <c r="H84" s="133">
        <v>840</v>
      </c>
      <c r="I84" s="133"/>
      <c r="J84" s="133"/>
      <c r="K84" s="133"/>
      <c r="L84" s="133"/>
      <c r="M84" s="133"/>
      <c r="N84" s="133"/>
      <c r="O84" s="133">
        <v>2400</v>
      </c>
      <c r="P84" s="133"/>
      <c r="Q84" s="79">
        <f t="shared" si="2"/>
        <v>3240</v>
      </c>
      <c r="R84" s="151">
        <f t="shared" si="3"/>
        <v>2760</v>
      </c>
      <c r="S84" s="160"/>
    </row>
    <row r="85" spans="1:19" s="16" customFormat="1" ht="24">
      <c r="A85" s="2" t="s">
        <v>159</v>
      </c>
      <c r="B85" s="7" t="s">
        <v>5</v>
      </c>
      <c r="C85" s="8" t="s">
        <v>160</v>
      </c>
      <c r="D85" s="9" t="s">
        <v>5</v>
      </c>
      <c r="E85" s="10" t="s">
        <v>138</v>
      </c>
      <c r="F85" s="58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79">
        <f t="shared" si="2"/>
        <v>0</v>
      </c>
      <c r="R85" s="151">
        <f t="shared" si="3"/>
        <v>6000</v>
      </c>
      <c r="S85" s="160"/>
    </row>
    <row r="86" spans="1:19" s="16" customFormat="1" ht="24">
      <c r="A86" s="2" t="s">
        <v>161</v>
      </c>
      <c r="B86" s="7" t="s">
        <v>5</v>
      </c>
      <c r="C86" s="8" t="s">
        <v>162</v>
      </c>
      <c r="D86" s="9" t="s">
        <v>5</v>
      </c>
      <c r="E86" s="10" t="s">
        <v>138</v>
      </c>
      <c r="F86" s="58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79">
        <f t="shared" si="2"/>
        <v>0</v>
      </c>
      <c r="R86" s="151">
        <f t="shared" si="3"/>
        <v>6000</v>
      </c>
      <c r="S86" s="160"/>
    </row>
    <row r="87" spans="1:19" s="16" customFormat="1" ht="24">
      <c r="A87" s="2" t="s">
        <v>163</v>
      </c>
      <c r="B87" s="3" t="s">
        <v>5</v>
      </c>
      <c r="C87" s="4" t="s">
        <v>164</v>
      </c>
      <c r="D87" s="5" t="s">
        <v>5</v>
      </c>
      <c r="E87" s="11" t="s">
        <v>138</v>
      </c>
      <c r="F87" s="56"/>
      <c r="G87" s="133"/>
      <c r="H87" s="133"/>
      <c r="I87" s="133"/>
      <c r="J87" s="133"/>
      <c r="K87" s="133"/>
      <c r="L87" s="133"/>
      <c r="M87" s="133"/>
      <c r="N87" s="133"/>
      <c r="O87" s="133"/>
      <c r="P87" s="133">
        <v>1485</v>
      </c>
      <c r="Q87" s="79">
        <f t="shared" si="2"/>
        <v>1485</v>
      </c>
      <c r="R87" s="151">
        <f t="shared" si="3"/>
        <v>4515</v>
      </c>
      <c r="S87" s="160"/>
    </row>
    <row r="88" spans="1:19" s="122" customFormat="1" ht="24">
      <c r="A88" s="118" t="s">
        <v>165</v>
      </c>
      <c r="B88" s="119" t="s">
        <v>5</v>
      </c>
      <c r="C88" s="105" t="s">
        <v>166</v>
      </c>
      <c r="D88" s="106" t="s">
        <v>5</v>
      </c>
      <c r="E88" s="107" t="s">
        <v>138</v>
      </c>
      <c r="F88" s="108"/>
      <c r="G88" s="145">
        <v>2167</v>
      </c>
      <c r="H88" s="145"/>
      <c r="I88" s="145"/>
      <c r="J88" s="145"/>
      <c r="K88" s="145"/>
      <c r="L88" s="145">
        <v>2450</v>
      </c>
      <c r="M88" s="145">
        <f>710+673</f>
        <v>1383</v>
      </c>
      <c r="N88" s="145"/>
      <c r="O88" s="145"/>
      <c r="P88" s="145"/>
      <c r="Q88" s="138">
        <f t="shared" si="2"/>
        <v>6000</v>
      </c>
      <c r="R88" s="114">
        <f t="shared" si="3"/>
        <v>0</v>
      </c>
      <c r="S88" s="161"/>
    </row>
    <row r="89" spans="1:19" s="16" customFormat="1" ht="24">
      <c r="A89" s="2" t="s">
        <v>167</v>
      </c>
      <c r="B89" s="3" t="s">
        <v>5</v>
      </c>
      <c r="C89" s="4" t="s">
        <v>168</v>
      </c>
      <c r="D89" s="5" t="s">
        <v>5</v>
      </c>
      <c r="E89" s="11" t="s">
        <v>138</v>
      </c>
      <c r="F89" s="56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79">
        <f t="shared" si="2"/>
        <v>0</v>
      </c>
      <c r="R89" s="151">
        <f t="shared" si="3"/>
        <v>6000</v>
      </c>
      <c r="S89" s="160"/>
    </row>
    <row r="90" spans="1:19" s="16" customFormat="1" ht="24">
      <c r="A90" s="2" t="s">
        <v>169</v>
      </c>
      <c r="B90" s="30" t="s">
        <v>5</v>
      </c>
      <c r="C90" s="84" t="s">
        <v>170</v>
      </c>
      <c r="D90" s="9" t="s">
        <v>5</v>
      </c>
      <c r="E90" s="10" t="s">
        <v>138</v>
      </c>
      <c r="F90" s="58"/>
      <c r="G90" s="136"/>
      <c r="H90" s="136"/>
      <c r="I90" s="136"/>
      <c r="J90" s="136">
        <f>3293+2578</f>
        <v>5871</v>
      </c>
      <c r="K90" s="136">
        <v>129</v>
      </c>
      <c r="L90" s="136"/>
      <c r="M90" s="136"/>
      <c r="N90" s="136"/>
      <c r="O90" s="136"/>
      <c r="P90" s="136"/>
      <c r="Q90" s="79">
        <f t="shared" si="2"/>
        <v>6000</v>
      </c>
      <c r="R90" s="151">
        <f t="shared" si="3"/>
        <v>0</v>
      </c>
      <c r="S90" s="160"/>
    </row>
    <row r="91" spans="1:19" s="122" customFormat="1" ht="24">
      <c r="A91" s="118" t="s">
        <v>171</v>
      </c>
      <c r="B91" s="154" t="s">
        <v>5</v>
      </c>
      <c r="C91" s="97" t="s">
        <v>172</v>
      </c>
      <c r="D91" s="98" t="s">
        <v>5</v>
      </c>
      <c r="E91" s="99" t="s">
        <v>138</v>
      </c>
      <c r="F91" s="100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38">
        <f t="shared" si="2"/>
        <v>0</v>
      </c>
      <c r="R91" s="114">
        <f t="shared" si="3"/>
        <v>6000</v>
      </c>
      <c r="S91" s="161"/>
    </row>
    <row r="92" spans="1:19" s="16" customFormat="1" ht="24">
      <c r="A92" s="2" t="s">
        <v>173</v>
      </c>
      <c r="B92" s="3" t="s">
        <v>5</v>
      </c>
      <c r="C92" s="4" t="s">
        <v>174</v>
      </c>
      <c r="D92" s="5" t="s">
        <v>5</v>
      </c>
      <c r="E92" s="11" t="s">
        <v>138</v>
      </c>
      <c r="F92" s="56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79">
        <f t="shared" si="2"/>
        <v>0</v>
      </c>
      <c r="R92" s="151">
        <f t="shared" si="3"/>
        <v>6000</v>
      </c>
      <c r="S92" s="160"/>
    </row>
    <row r="93" spans="1:19" s="191" customFormat="1" ht="24">
      <c r="A93" s="118" t="s">
        <v>175</v>
      </c>
      <c r="B93" s="119" t="s">
        <v>5</v>
      </c>
      <c r="C93" s="105" t="s">
        <v>176</v>
      </c>
      <c r="D93" s="106" t="s">
        <v>5</v>
      </c>
      <c r="E93" s="107" t="s">
        <v>138</v>
      </c>
      <c r="F93" s="108"/>
      <c r="G93" s="145"/>
      <c r="H93" s="145"/>
      <c r="I93" s="145"/>
      <c r="J93" s="145">
        <f>3952+525</f>
        <v>4477</v>
      </c>
      <c r="K93" s="145">
        <v>1523</v>
      </c>
      <c r="L93" s="145"/>
      <c r="M93" s="145"/>
      <c r="N93" s="145"/>
      <c r="O93" s="145"/>
      <c r="P93" s="145"/>
      <c r="Q93" s="138">
        <f t="shared" si="2"/>
        <v>6000</v>
      </c>
      <c r="R93" s="114">
        <f t="shared" si="3"/>
        <v>0</v>
      </c>
      <c r="S93" s="161"/>
    </row>
    <row r="94" spans="1:19" s="43" customFormat="1" ht="24">
      <c r="A94" s="2" t="s">
        <v>177</v>
      </c>
      <c r="B94" s="7" t="s">
        <v>5</v>
      </c>
      <c r="C94" s="8" t="s">
        <v>178</v>
      </c>
      <c r="D94" s="9" t="s">
        <v>5</v>
      </c>
      <c r="E94" s="10" t="s">
        <v>138</v>
      </c>
      <c r="F94" s="58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79">
        <f t="shared" si="2"/>
        <v>0</v>
      </c>
      <c r="R94" s="151">
        <f t="shared" si="3"/>
        <v>6000</v>
      </c>
      <c r="S94" s="160"/>
    </row>
    <row r="95" spans="1:19" s="43" customFormat="1" ht="24">
      <c r="A95" s="2" t="s">
        <v>179</v>
      </c>
      <c r="B95" s="7" t="s">
        <v>5</v>
      </c>
      <c r="C95" s="8" t="s">
        <v>180</v>
      </c>
      <c r="D95" s="9" t="s">
        <v>5</v>
      </c>
      <c r="E95" s="10" t="s">
        <v>138</v>
      </c>
      <c r="F95" s="58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79">
        <f t="shared" si="2"/>
        <v>0</v>
      </c>
      <c r="R95" s="151">
        <f t="shared" si="3"/>
        <v>6000</v>
      </c>
      <c r="S95" s="160"/>
    </row>
    <row r="96" spans="1:19" s="43" customFormat="1" ht="24">
      <c r="A96" s="2" t="s">
        <v>181</v>
      </c>
      <c r="B96" s="7" t="s">
        <v>5</v>
      </c>
      <c r="C96" s="8" t="s">
        <v>182</v>
      </c>
      <c r="D96" s="9" t="s">
        <v>5</v>
      </c>
      <c r="E96" s="10" t="s">
        <v>138</v>
      </c>
      <c r="F96" s="58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79">
        <f t="shared" si="2"/>
        <v>0</v>
      </c>
      <c r="R96" s="151">
        <f t="shared" si="3"/>
        <v>6000</v>
      </c>
      <c r="S96" s="160"/>
    </row>
    <row r="97" spans="1:19" s="43" customFormat="1" ht="24">
      <c r="A97" s="2" t="s">
        <v>183</v>
      </c>
      <c r="B97" s="7" t="s">
        <v>5</v>
      </c>
      <c r="C97" s="8" t="s">
        <v>184</v>
      </c>
      <c r="D97" s="9" t="s">
        <v>5</v>
      </c>
      <c r="E97" s="10" t="s">
        <v>138</v>
      </c>
      <c r="F97" s="58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79">
        <f t="shared" si="2"/>
        <v>0</v>
      </c>
      <c r="R97" s="151">
        <f t="shared" si="3"/>
        <v>6000</v>
      </c>
      <c r="S97" s="160"/>
    </row>
    <row r="98" spans="1:19" s="191" customFormat="1" ht="24">
      <c r="A98" s="118" t="s">
        <v>185</v>
      </c>
      <c r="B98" s="119" t="s">
        <v>5</v>
      </c>
      <c r="C98" s="105" t="s">
        <v>186</v>
      </c>
      <c r="D98" s="106" t="s">
        <v>5</v>
      </c>
      <c r="E98" s="107" t="s">
        <v>138</v>
      </c>
      <c r="F98" s="108"/>
      <c r="G98" s="145"/>
      <c r="H98" s="145"/>
      <c r="I98" s="145"/>
      <c r="J98" s="145"/>
      <c r="K98" s="145"/>
      <c r="L98" s="145"/>
      <c r="M98" s="145"/>
      <c r="N98" s="145"/>
      <c r="O98" s="145">
        <v>6000</v>
      </c>
      <c r="P98" s="145"/>
      <c r="Q98" s="138">
        <f t="shared" si="2"/>
        <v>6000</v>
      </c>
      <c r="R98" s="114">
        <f t="shared" si="3"/>
        <v>0</v>
      </c>
      <c r="S98" s="161"/>
    </row>
    <row r="99" spans="1:19" s="43" customFormat="1" ht="24">
      <c r="A99" s="2" t="s">
        <v>187</v>
      </c>
      <c r="B99" s="7" t="s">
        <v>5</v>
      </c>
      <c r="C99" s="8" t="s">
        <v>188</v>
      </c>
      <c r="D99" s="9" t="s">
        <v>5</v>
      </c>
      <c r="E99" s="10" t="s">
        <v>138</v>
      </c>
      <c r="F99" s="58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79">
        <f t="shared" si="2"/>
        <v>0</v>
      </c>
      <c r="R99" s="151">
        <f t="shared" si="3"/>
        <v>6000</v>
      </c>
      <c r="S99" s="160"/>
    </row>
    <row r="100" spans="1:19" s="43" customFormat="1" ht="24">
      <c r="A100" s="2" t="s">
        <v>189</v>
      </c>
      <c r="B100" s="7" t="s">
        <v>5</v>
      </c>
      <c r="C100" s="8" t="s">
        <v>190</v>
      </c>
      <c r="D100" s="9" t="s">
        <v>5</v>
      </c>
      <c r="E100" s="10" t="s">
        <v>138</v>
      </c>
      <c r="F100" s="58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79">
        <f t="shared" si="2"/>
        <v>0</v>
      </c>
      <c r="R100" s="151">
        <f t="shared" si="3"/>
        <v>6000</v>
      </c>
      <c r="S100" s="160"/>
    </row>
    <row r="101" spans="1:19" s="122" customFormat="1" ht="24">
      <c r="A101" s="118" t="s">
        <v>191</v>
      </c>
      <c r="B101" s="154" t="s">
        <v>5</v>
      </c>
      <c r="C101" s="97" t="s">
        <v>192</v>
      </c>
      <c r="D101" s="98" t="s">
        <v>5</v>
      </c>
      <c r="E101" s="155" t="s">
        <v>193</v>
      </c>
      <c r="F101" s="251"/>
      <c r="G101" s="252">
        <v>3700</v>
      </c>
      <c r="H101" s="252"/>
      <c r="I101" s="252"/>
      <c r="J101" s="252"/>
      <c r="K101" s="252"/>
      <c r="L101" s="252"/>
      <c r="M101" s="252"/>
      <c r="N101" s="252"/>
      <c r="O101" s="252"/>
      <c r="P101" s="252">
        <v>2300</v>
      </c>
      <c r="Q101" s="138">
        <f t="shared" si="2"/>
        <v>6000</v>
      </c>
      <c r="R101" s="114">
        <f t="shared" si="3"/>
        <v>0</v>
      </c>
      <c r="S101" s="161"/>
    </row>
    <row r="102" spans="1:19" s="16" customFormat="1" ht="24">
      <c r="A102" s="2" t="s">
        <v>194</v>
      </c>
      <c r="B102" s="7" t="s">
        <v>5</v>
      </c>
      <c r="C102" s="8" t="s">
        <v>195</v>
      </c>
      <c r="D102" s="9" t="s">
        <v>5</v>
      </c>
      <c r="E102" s="18" t="s">
        <v>193</v>
      </c>
      <c r="F102" s="48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79">
        <f t="shared" si="2"/>
        <v>0</v>
      </c>
      <c r="R102" s="151">
        <f t="shared" si="3"/>
        <v>6000</v>
      </c>
      <c r="S102" s="160"/>
    </row>
    <row r="103" spans="1:19" s="16" customFormat="1" ht="24">
      <c r="A103" s="2" t="s">
        <v>196</v>
      </c>
      <c r="B103" s="7" t="s">
        <v>5</v>
      </c>
      <c r="C103" s="8" t="s">
        <v>197</v>
      </c>
      <c r="D103" s="9" t="s">
        <v>5</v>
      </c>
      <c r="E103" s="18" t="s">
        <v>193</v>
      </c>
      <c r="F103" s="48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79">
        <f t="shared" si="2"/>
        <v>0</v>
      </c>
      <c r="R103" s="151">
        <f t="shared" si="3"/>
        <v>6000</v>
      </c>
      <c r="S103" s="160"/>
    </row>
    <row r="104" spans="1:19" s="122" customFormat="1" ht="24">
      <c r="A104" s="118" t="s">
        <v>198</v>
      </c>
      <c r="B104" s="119" t="s">
        <v>5</v>
      </c>
      <c r="C104" s="105" t="s">
        <v>199</v>
      </c>
      <c r="D104" s="106" t="s">
        <v>5</v>
      </c>
      <c r="E104" s="120" t="s">
        <v>193</v>
      </c>
      <c r="F104" s="121"/>
      <c r="G104" s="137">
        <v>6000</v>
      </c>
      <c r="H104" s="137"/>
      <c r="I104" s="137"/>
      <c r="J104" s="137"/>
      <c r="K104" s="137"/>
      <c r="L104" s="137"/>
      <c r="M104" s="137"/>
      <c r="N104" s="137"/>
      <c r="O104" s="137"/>
      <c r="P104" s="137"/>
      <c r="Q104" s="138">
        <f t="shared" si="2"/>
        <v>6000</v>
      </c>
      <c r="R104" s="114">
        <f t="shared" si="3"/>
        <v>0</v>
      </c>
      <c r="S104" s="161"/>
    </row>
    <row r="105" spans="1:19" s="122" customFormat="1" ht="24">
      <c r="A105" s="118" t="s">
        <v>200</v>
      </c>
      <c r="B105" s="154" t="s">
        <v>5</v>
      </c>
      <c r="C105" s="97" t="s">
        <v>201</v>
      </c>
      <c r="D105" s="98" t="s">
        <v>5</v>
      </c>
      <c r="E105" s="155" t="s">
        <v>193</v>
      </c>
      <c r="F105" s="156"/>
      <c r="G105" s="157"/>
      <c r="H105" s="157"/>
      <c r="I105" s="157"/>
      <c r="J105" s="157"/>
      <c r="K105" s="157">
        <v>6000</v>
      </c>
      <c r="L105" s="157"/>
      <c r="M105" s="157"/>
      <c r="N105" s="157"/>
      <c r="O105" s="157"/>
      <c r="P105" s="157"/>
      <c r="Q105" s="138">
        <f t="shared" si="2"/>
        <v>6000</v>
      </c>
      <c r="R105" s="114">
        <f t="shared" si="3"/>
        <v>0</v>
      </c>
      <c r="S105" s="161"/>
    </row>
    <row r="106" spans="1:19" s="16" customFormat="1" ht="24">
      <c r="A106" s="2" t="s">
        <v>202</v>
      </c>
      <c r="B106" s="3" t="s">
        <v>45</v>
      </c>
      <c r="C106" s="4" t="s">
        <v>203</v>
      </c>
      <c r="D106" s="5" t="s">
        <v>45</v>
      </c>
      <c r="E106" s="17" t="s">
        <v>193</v>
      </c>
      <c r="F106" s="69"/>
      <c r="G106" s="131">
        <v>3751.5</v>
      </c>
      <c r="H106" s="131"/>
      <c r="I106" s="131"/>
      <c r="J106" s="131">
        <v>2190</v>
      </c>
      <c r="K106" s="131"/>
      <c r="L106" s="131"/>
      <c r="M106" s="131"/>
      <c r="N106" s="131"/>
      <c r="O106" s="131"/>
      <c r="P106" s="131"/>
      <c r="Q106" s="79">
        <f t="shared" si="2"/>
        <v>5941.5</v>
      </c>
      <c r="R106" s="151">
        <f t="shared" si="3"/>
        <v>58.5</v>
      </c>
      <c r="S106" s="160"/>
    </row>
    <row r="107" spans="1:19" s="16" customFormat="1" ht="24">
      <c r="A107" s="2" t="s">
        <v>204</v>
      </c>
      <c r="B107" s="3" t="s">
        <v>5</v>
      </c>
      <c r="C107" s="4" t="s">
        <v>205</v>
      </c>
      <c r="D107" s="5" t="s">
        <v>5</v>
      </c>
      <c r="E107" s="17" t="s">
        <v>193</v>
      </c>
      <c r="F107" s="69"/>
      <c r="G107" s="131"/>
      <c r="H107" s="131"/>
      <c r="I107" s="131"/>
      <c r="J107" s="131"/>
      <c r="K107" s="131"/>
      <c r="L107" s="131"/>
      <c r="M107" s="131">
        <v>520</v>
      </c>
      <c r="N107" s="131"/>
      <c r="O107" s="131">
        <v>500</v>
      </c>
      <c r="P107" s="131">
        <v>600</v>
      </c>
      <c r="Q107" s="79">
        <f t="shared" si="2"/>
        <v>1620</v>
      </c>
      <c r="R107" s="151">
        <f t="shared" si="3"/>
        <v>4380</v>
      </c>
      <c r="S107" s="160"/>
    </row>
    <row r="108" spans="1:19" s="16" customFormat="1" ht="24">
      <c r="A108" s="2" t="s">
        <v>206</v>
      </c>
      <c r="B108" s="30" t="s">
        <v>5</v>
      </c>
      <c r="C108" s="84" t="s">
        <v>207</v>
      </c>
      <c r="D108" s="9" t="s">
        <v>5</v>
      </c>
      <c r="E108" s="18" t="s">
        <v>193</v>
      </c>
      <c r="F108" s="72"/>
      <c r="G108" s="139"/>
      <c r="H108" s="139"/>
      <c r="I108" s="139">
        <v>1000</v>
      </c>
      <c r="J108" s="139">
        <f>260+420</f>
        <v>680</v>
      </c>
      <c r="K108" s="139">
        <f>300+360</f>
        <v>660</v>
      </c>
      <c r="L108" s="139"/>
      <c r="M108" s="139"/>
      <c r="N108" s="139"/>
      <c r="O108" s="139"/>
      <c r="P108" s="139">
        <v>400</v>
      </c>
      <c r="Q108" s="79">
        <f t="shared" si="2"/>
        <v>2740</v>
      </c>
      <c r="R108" s="151">
        <f t="shared" si="3"/>
        <v>3260</v>
      </c>
      <c r="S108" s="160"/>
    </row>
    <row r="109" spans="1:19" s="16" customFormat="1" ht="24">
      <c r="A109" s="2" t="s">
        <v>208</v>
      </c>
      <c r="B109" s="87" t="s">
        <v>5</v>
      </c>
      <c r="C109" s="88" t="s">
        <v>209</v>
      </c>
      <c r="D109" s="12" t="s">
        <v>5</v>
      </c>
      <c r="E109" s="89" t="s">
        <v>193</v>
      </c>
      <c r="F109" s="90"/>
      <c r="G109" s="140"/>
      <c r="H109" s="140">
        <v>3000</v>
      </c>
      <c r="I109" s="140"/>
      <c r="J109" s="140"/>
      <c r="K109" s="140"/>
      <c r="L109" s="140"/>
      <c r="M109" s="140">
        <v>605</v>
      </c>
      <c r="N109" s="140">
        <v>245</v>
      </c>
      <c r="O109" s="140"/>
      <c r="P109" s="140">
        <f>750+795</f>
        <v>1545</v>
      </c>
      <c r="Q109" s="79">
        <f t="shared" si="2"/>
        <v>5395</v>
      </c>
      <c r="R109" s="151">
        <f t="shared" si="3"/>
        <v>605</v>
      </c>
      <c r="S109" s="160"/>
    </row>
    <row r="110" spans="1:19" s="16" customFormat="1" ht="24">
      <c r="A110" s="2" t="s">
        <v>210</v>
      </c>
      <c r="B110" s="85" t="s">
        <v>5</v>
      </c>
      <c r="C110" s="86" t="s">
        <v>211</v>
      </c>
      <c r="D110" s="14" t="s">
        <v>5</v>
      </c>
      <c r="E110" s="23" t="s">
        <v>193</v>
      </c>
      <c r="F110" s="73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>
        <v>2420</v>
      </c>
      <c r="Q110" s="79">
        <f t="shared" si="2"/>
        <v>2420</v>
      </c>
      <c r="R110" s="151">
        <f t="shared" si="3"/>
        <v>3580</v>
      </c>
      <c r="S110" s="160"/>
    </row>
    <row r="111" spans="1:19" s="122" customFormat="1" ht="24">
      <c r="A111" s="118" t="s">
        <v>212</v>
      </c>
      <c r="B111" s="119" t="s">
        <v>5</v>
      </c>
      <c r="C111" s="105" t="s">
        <v>213</v>
      </c>
      <c r="D111" s="106" t="s">
        <v>5</v>
      </c>
      <c r="E111" s="120" t="s">
        <v>193</v>
      </c>
      <c r="F111" s="192"/>
      <c r="G111" s="193"/>
      <c r="H111" s="193"/>
      <c r="I111" s="193">
        <v>1385</v>
      </c>
      <c r="J111" s="193"/>
      <c r="K111" s="193"/>
      <c r="L111" s="193"/>
      <c r="M111" s="193"/>
      <c r="N111" s="193"/>
      <c r="O111" s="193"/>
      <c r="P111" s="193">
        <v>4615</v>
      </c>
      <c r="Q111" s="138">
        <f t="shared" si="2"/>
        <v>6000</v>
      </c>
      <c r="R111" s="114">
        <f t="shared" si="3"/>
        <v>0</v>
      </c>
      <c r="S111" s="161"/>
    </row>
    <row r="112" spans="1:19" s="122" customFormat="1" ht="24">
      <c r="A112" s="118" t="s">
        <v>214</v>
      </c>
      <c r="B112" s="119" t="s">
        <v>5</v>
      </c>
      <c r="C112" s="105" t="s">
        <v>215</v>
      </c>
      <c r="D112" s="106" t="s">
        <v>5</v>
      </c>
      <c r="E112" s="120" t="s">
        <v>193</v>
      </c>
      <c r="F112" s="192"/>
      <c r="G112" s="193">
        <v>1252</v>
      </c>
      <c r="H112" s="193">
        <v>400</v>
      </c>
      <c r="I112" s="193"/>
      <c r="J112" s="193"/>
      <c r="K112" s="193">
        <v>1442</v>
      </c>
      <c r="L112" s="193">
        <v>2906</v>
      </c>
      <c r="M112" s="193"/>
      <c r="N112" s="193"/>
      <c r="O112" s="193"/>
      <c r="P112" s="193"/>
      <c r="Q112" s="138">
        <f t="shared" si="2"/>
        <v>6000</v>
      </c>
      <c r="R112" s="114">
        <f t="shared" si="3"/>
        <v>0</v>
      </c>
      <c r="S112" s="161"/>
    </row>
    <row r="113" spans="1:19" s="16" customFormat="1" ht="24">
      <c r="A113" s="2" t="s">
        <v>216</v>
      </c>
      <c r="B113" s="7" t="s">
        <v>5</v>
      </c>
      <c r="C113" s="8" t="s">
        <v>217</v>
      </c>
      <c r="D113" s="9" t="s">
        <v>5</v>
      </c>
      <c r="E113" s="18" t="s">
        <v>193</v>
      </c>
      <c r="F113" s="72"/>
      <c r="G113" s="139"/>
      <c r="H113" s="139"/>
      <c r="I113" s="139"/>
      <c r="J113" s="139"/>
      <c r="K113" s="139"/>
      <c r="L113" s="139"/>
      <c r="M113" s="139">
        <v>1000</v>
      </c>
      <c r="N113" s="139"/>
      <c r="O113" s="139"/>
      <c r="P113" s="139"/>
      <c r="Q113" s="79">
        <f t="shared" si="2"/>
        <v>1000</v>
      </c>
      <c r="R113" s="151">
        <f t="shared" si="3"/>
        <v>5000</v>
      </c>
      <c r="S113" s="160"/>
    </row>
    <row r="114" spans="1:19" s="122" customFormat="1" ht="24">
      <c r="A114" s="118" t="s">
        <v>218</v>
      </c>
      <c r="B114" s="154" t="s">
        <v>5</v>
      </c>
      <c r="C114" s="97" t="s">
        <v>219</v>
      </c>
      <c r="D114" s="98" t="s">
        <v>5</v>
      </c>
      <c r="E114" s="155" t="s">
        <v>193</v>
      </c>
      <c r="F114" s="156"/>
      <c r="G114" s="157"/>
      <c r="H114" s="157"/>
      <c r="I114" s="157"/>
      <c r="J114" s="157"/>
      <c r="K114" s="157"/>
      <c r="L114" s="157"/>
      <c r="M114" s="157"/>
      <c r="N114" s="157"/>
      <c r="O114" s="157">
        <v>4101</v>
      </c>
      <c r="P114" s="157">
        <f>1200+699</f>
        <v>1899</v>
      </c>
      <c r="Q114" s="138">
        <f t="shared" si="2"/>
        <v>6000</v>
      </c>
      <c r="R114" s="114">
        <f t="shared" si="3"/>
        <v>0</v>
      </c>
      <c r="S114" s="161"/>
    </row>
    <row r="115" spans="1:19" s="122" customFormat="1" ht="24">
      <c r="A115" s="118" t="s">
        <v>220</v>
      </c>
      <c r="B115" s="154" t="s">
        <v>5</v>
      </c>
      <c r="C115" s="97" t="s">
        <v>221</v>
      </c>
      <c r="D115" s="98" t="s">
        <v>5</v>
      </c>
      <c r="E115" s="155" t="s">
        <v>193</v>
      </c>
      <c r="F115" s="156"/>
      <c r="G115" s="157">
        <f>498+1124</f>
        <v>1622</v>
      </c>
      <c r="H115" s="157"/>
      <c r="I115" s="157">
        <v>4378</v>
      </c>
      <c r="J115" s="157"/>
      <c r="K115" s="157"/>
      <c r="L115" s="157"/>
      <c r="M115" s="157"/>
      <c r="N115" s="157"/>
      <c r="O115" s="157"/>
      <c r="P115" s="157"/>
      <c r="Q115" s="138">
        <f t="shared" si="2"/>
        <v>6000</v>
      </c>
      <c r="R115" s="114">
        <f t="shared" si="3"/>
        <v>0</v>
      </c>
      <c r="S115" s="161"/>
    </row>
    <row r="116" spans="1:19" s="16" customFormat="1" ht="24">
      <c r="A116" s="2" t="s">
        <v>222</v>
      </c>
      <c r="B116" s="7" t="s">
        <v>5</v>
      </c>
      <c r="C116" s="24" t="s">
        <v>223</v>
      </c>
      <c r="D116" s="9" t="s">
        <v>5</v>
      </c>
      <c r="E116" s="25" t="s">
        <v>193</v>
      </c>
      <c r="F116" s="74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79">
        <f t="shared" si="2"/>
        <v>0</v>
      </c>
      <c r="R116" s="151">
        <f t="shared" si="3"/>
        <v>6000</v>
      </c>
      <c r="S116" s="160"/>
    </row>
    <row r="117" spans="1:19" s="16" customFormat="1" ht="24">
      <c r="A117" s="2" t="s">
        <v>224</v>
      </c>
      <c r="B117" s="7" t="s">
        <v>5</v>
      </c>
      <c r="C117" s="8" t="s">
        <v>225</v>
      </c>
      <c r="D117" s="9" t="s">
        <v>5</v>
      </c>
      <c r="E117" s="18" t="s">
        <v>193</v>
      </c>
      <c r="F117" s="72"/>
      <c r="G117" s="139"/>
      <c r="H117" s="139"/>
      <c r="I117" s="139"/>
      <c r="J117" s="139"/>
      <c r="K117" s="139"/>
      <c r="L117" s="139">
        <f>2100+489</f>
        <v>2589</v>
      </c>
      <c r="M117" s="139"/>
      <c r="N117" s="139"/>
      <c r="O117" s="139">
        <v>2494</v>
      </c>
      <c r="P117" s="139"/>
      <c r="Q117" s="79">
        <f t="shared" si="2"/>
        <v>5083</v>
      </c>
      <c r="R117" s="151">
        <f t="shared" si="3"/>
        <v>917</v>
      </c>
      <c r="S117" s="160"/>
    </row>
    <row r="118" spans="1:19" s="122" customFormat="1" ht="24">
      <c r="A118" s="118" t="s">
        <v>226</v>
      </c>
      <c r="B118" s="119" t="s">
        <v>5</v>
      </c>
      <c r="C118" s="105" t="s">
        <v>227</v>
      </c>
      <c r="D118" s="106" t="s">
        <v>5</v>
      </c>
      <c r="E118" s="120" t="s">
        <v>193</v>
      </c>
      <c r="F118" s="192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>
        <v>6000</v>
      </c>
      <c r="Q118" s="138">
        <f t="shared" si="2"/>
        <v>6000</v>
      </c>
      <c r="R118" s="114">
        <f t="shared" si="3"/>
        <v>0</v>
      </c>
      <c r="S118" s="161"/>
    </row>
    <row r="119" spans="1:19" s="16" customFormat="1" ht="24">
      <c r="A119" s="2" t="s">
        <v>228</v>
      </c>
      <c r="B119" s="3" t="s">
        <v>5</v>
      </c>
      <c r="C119" s="4" t="s">
        <v>229</v>
      </c>
      <c r="D119" s="5" t="s">
        <v>5</v>
      </c>
      <c r="E119" s="17" t="s">
        <v>193</v>
      </c>
      <c r="F119" s="69"/>
      <c r="G119" s="131"/>
      <c r="H119" s="131"/>
      <c r="I119" s="131"/>
      <c r="J119" s="131"/>
      <c r="K119" s="131">
        <v>1151</v>
      </c>
      <c r="L119" s="131"/>
      <c r="M119" s="131"/>
      <c r="N119" s="131"/>
      <c r="O119" s="131"/>
      <c r="P119" s="131"/>
      <c r="Q119" s="79">
        <f t="shared" si="2"/>
        <v>1151</v>
      </c>
      <c r="R119" s="151">
        <f t="shared" si="3"/>
        <v>4849</v>
      </c>
      <c r="S119" s="160"/>
    </row>
    <row r="120" spans="1:19" s="122" customFormat="1" ht="24">
      <c r="A120" s="118" t="s">
        <v>230</v>
      </c>
      <c r="B120" s="154" t="s">
        <v>5</v>
      </c>
      <c r="C120" s="97" t="s">
        <v>231</v>
      </c>
      <c r="D120" s="98" t="s">
        <v>5</v>
      </c>
      <c r="E120" s="155" t="s">
        <v>193</v>
      </c>
      <c r="F120" s="156"/>
      <c r="G120" s="157"/>
      <c r="H120" s="157"/>
      <c r="I120" s="157">
        <v>1508</v>
      </c>
      <c r="J120" s="157"/>
      <c r="K120" s="157"/>
      <c r="L120" s="157"/>
      <c r="M120" s="157"/>
      <c r="N120" s="157"/>
      <c r="O120" s="157">
        <v>4492</v>
      </c>
      <c r="P120" s="157"/>
      <c r="Q120" s="138">
        <f t="shared" si="2"/>
        <v>6000</v>
      </c>
      <c r="R120" s="114">
        <f t="shared" si="3"/>
        <v>0</v>
      </c>
      <c r="S120" s="161"/>
    </row>
    <row r="121" spans="1:19" s="122" customFormat="1" ht="24">
      <c r="A121" s="118" t="s">
        <v>232</v>
      </c>
      <c r="B121" s="119" t="s">
        <v>5</v>
      </c>
      <c r="C121" s="105" t="s">
        <v>233</v>
      </c>
      <c r="D121" s="106" t="s">
        <v>5</v>
      </c>
      <c r="E121" s="120" t="s">
        <v>193</v>
      </c>
      <c r="F121" s="192"/>
      <c r="G121" s="193"/>
      <c r="H121" s="193"/>
      <c r="I121" s="193">
        <v>5727</v>
      </c>
      <c r="J121" s="193"/>
      <c r="K121" s="193">
        <v>273</v>
      </c>
      <c r="L121" s="193"/>
      <c r="M121" s="193"/>
      <c r="N121" s="193"/>
      <c r="O121" s="193"/>
      <c r="P121" s="193"/>
      <c r="Q121" s="138">
        <f t="shared" si="2"/>
        <v>6000</v>
      </c>
      <c r="R121" s="114">
        <f t="shared" si="3"/>
        <v>0</v>
      </c>
      <c r="S121" s="161"/>
    </row>
    <row r="122" spans="1:19" s="16" customFormat="1" ht="24">
      <c r="A122" s="2" t="s">
        <v>234</v>
      </c>
      <c r="B122" s="7" t="s">
        <v>5</v>
      </c>
      <c r="C122" s="8" t="s">
        <v>235</v>
      </c>
      <c r="D122" s="9" t="s">
        <v>5</v>
      </c>
      <c r="E122" s="18" t="s">
        <v>193</v>
      </c>
      <c r="F122" s="72">
        <v>800</v>
      </c>
      <c r="G122" s="139"/>
      <c r="H122" s="139"/>
      <c r="I122" s="139"/>
      <c r="J122" s="139"/>
      <c r="K122" s="139">
        <v>670</v>
      </c>
      <c r="L122" s="139"/>
      <c r="M122" s="139"/>
      <c r="N122" s="139">
        <v>2350</v>
      </c>
      <c r="O122" s="139"/>
      <c r="P122" s="139"/>
      <c r="Q122" s="79">
        <f t="shared" si="2"/>
        <v>3820</v>
      </c>
      <c r="R122" s="151">
        <f t="shared" si="3"/>
        <v>2180</v>
      </c>
      <c r="S122" s="160"/>
    </row>
    <row r="123" spans="1:19" s="16" customFormat="1" ht="24">
      <c r="A123" s="2" t="s">
        <v>236</v>
      </c>
      <c r="B123" s="3" t="s">
        <v>45</v>
      </c>
      <c r="C123" s="4" t="s">
        <v>237</v>
      </c>
      <c r="D123" s="26" t="s">
        <v>45</v>
      </c>
      <c r="E123" s="17" t="s">
        <v>193</v>
      </c>
      <c r="F123" s="69"/>
      <c r="G123" s="131"/>
      <c r="H123" s="131"/>
      <c r="I123" s="131"/>
      <c r="J123" s="131"/>
      <c r="K123" s="131"/>
      <c r="L123" s="131"/>
      <c r="M123" s="131">
        <v>300</v>
      </c>
      <c r="N123" s="131"/>
      <c r="O123" s="131"/>
      <c r="P123" s="131"/>
      <c r="Q123" s="79">
        <f t="shared" si="2"/>
        <v>300</v>
      </c>
      <c r="R123" s="151">
        <f t="shared" si="3"/>
        <v>5700</v>
      </c>
      <c r="S123" s="160"/>
    </row>
    <row r="124" spans="1:19" s="16" customFormat="1" ht="24">
      <c r="A124" s="2" t="s">
        <v>238</v>
      </c>
      <c r="B124" s="3" t="s">
        <v>5</v>
      </c>
      <c r="C124" s="4" t="s">
        <v>239</v>
      </c>
      <c r="D124" s="26" t="s">
        <v>5</v>
      </c>
      <c r="E124" s="17" t="s">
        <v>193</v>
      </c>
      <c r="F124" s="69"/>
      <c r="G124" s="131"/>
      <c r="H124" s="131"/>
      <c r="I124" s="131"/>
      <c r="J124" s="131"/>
      <c r="K124" s="131"/>
      <c r="L124" s="131">
        <v>2630</v>
      </c>
      <c r="M124" s="131"/>
      <c r="N124" s="131"/>
      <c r="O124" s="131"/>
      <c r="P124" s="131"/>
      <c r="Q124" s="79">
        <f t="shared" si="2"/>
        <v>2630</v>
      </c>
      <c r="R124" s="151">
        <f t="shared" si="3"/>
        <v>3370</v>
      </c>
      <c r="S124" s="160"/>
    </row>
    <row r="125" spans="1:19" s="122" customFormat="1" ht="24">
      <c r="A125" s="118" t="s">
        <v>240</v>
      </c>
      <c r="B125" s="154" t="s">
        <v>5</v>
      </c>
      <c r="C125" s="97" t="s">
        <v>241</v>
      </c>
      <c r="D125" s="179" t="s">
        <v>5</v>
      </c>
      <c r="E125" s="155" t="s">
        <v>193</v>
      </c>
      <c r="F125" s="156"/>
      <c r="G125" s="157"/>
      <c r="H125" s="157"/>
      <c r="I125" s="157"/>
      <c r="J125" s="157">
        <v>6000</v>
      </c>
      <c r="K125" s="157"/>
      <c r="L125" s="157"/>
      <c r="M125" s="157"/>
      <c r="N125" s="157"/>
      <c r="O125" s="157"/>
      <c r="P125" s="157"/>
      <c r="Q125" s="138">
        <f t="shared" si="2"/>
        <v>6000</v>
      </c>
      <c r="R125" s="114">
        <f t="shared" si="3"/>
        <v>0</v>
      </c>
      <c r="S125" s="161"/>
    </row>
    <row r="126" spans="1:19" s="16" customFormat="1" ht="24">
      <c r="A126" s="2" t="s">
        <v>242</v>
      </c>
      <c r="B126" s="3" t="s">
        <v>5</v>
      </c>
      <c r="C126" s="4" t="s">
        <v>243</v>
      </c>
      <c r="D126" s="5" t="s">
        <v>5</v>
      </c>
      <c r="E126" s="17" t="s">
        <v>193</v>
      </c>
      <c r="F126" s="69"/>
      <c r="G126" s="131"/>
      <c r="H126" s="131">
        <v>1820</v>
      </c>
      <c r="I126" s="131"/>
      <c r="J126" s="131"/>
      <c r="K126" s="131"/>
      <c r="L126" s="131"/>
      <c r="M126" s="131"/>
      <c r="N126" s="131">
        <v>875</v>
      </c>
      <c r="O126" s="131"/>
      <c r="P126" s="131"/>
      <c r="Q126" s="79">
        <f t="shared" si="2"/>
        <v>2695</v>
      </c>
      <c r="R126" s="151">
        <f t="shared" si="3"/>
        <v>3305</v>
      </c>
      <c r="S126" s="160"/>
    </row>
    <row r="127" spans="1:19" s="16" customFormat="1" ht="24">
      <c r="A127" s="2" t="s">
        <v>244</v>
      </c>
      <c r="B127" s="7" t="s">
        <v>5</v>
      </c>
      <c r="C127" s="8" t="s">
        <v>245</v>
      </c>
      <c r="D127" s="9" t="s">
        <v>5</v>
      </c>
      <c r="E127" s="18" t="s">
        <v>193</v>
      </c>
      <c r="F127" s="72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79">
        <f t="shared" si="2"/>
        <v>0</v>
      </c>
      <c r="R127" s="151">
        <f t="shared" si="3"/>
        <v>6000</v>
      </c>
      <c r="S127" s="160"/>
    </row>
    <row r="128" spans="1:19" s="16" customFormat="1" ht="24">
      <c r="A128" s="2" t="s">
        <v>246</v>
      </c>
      <c r="B128" s="7" t="s">
        <v>5</v>
      </c>
      <c r="C128" s="8" t="s">
        <v>247</v>
      </c>
      <c r="D128" s="9" t="s">
        <v>5</v>
      </c>
      <c r="E128" s="18" t="s">
        <v>193</v>
      </c>
      <c r="F128" s="72"/>
      <c r="G128" s="139"/>
      <c r="H128" s="139"/>
      <c r="I128" s="139"/>
      <c r="J128" s="139"/>
      <c r="K128" s="139">
        <v>600</v>
      </c>
      <c r="L128" s="139">
        <v>600</v>
      </c>
      <c r="M128" s="139"/>
      <c r="N128" s="139"/>
      <c r="O128" s="139"/>
      <c r="P128" s="139"/>
      <c r="Q128" s="79">
        <f t="shared" si="2"/>
        <v>1200</v>
      </c>
      <c r="R128" s="151">
        <f t="shared" si="3"/>
        <v>4800</v>
      </c>
      <c r="S128" s="160"/>
    </row>
    <row r="129" spans="1:19" s="122" customFormat="1" ht="24">
      <c r="A129" s="118" t="s">
        <v>248</v>
      </c>
      <c r="B129" s="119" t="s">
        <v>5</v>
      </c>
      <c r="C129" s="105" t="s">
        <v>249</v>
      </c>
      <c r="D129" s="106" t="s">
        <v>5</v>
      </c>
      <c r="E129" s="120" t="s">
        <v>193</v>
      </c>
      <c r="F129" s="192"/>
      <c r="G129" s="193"/>
      <c r="H129" s="193"/>
      <c r="I129" s="193"/>
      <c r="J129" s="193"/>
      <c r="K129" s="193"/>
      <c r="L129" s="193"/>
      <c r="M129" s="193">
        <v>749</v>
      </c>
      <c r="N129" s="193"/>
      <c r="O129" s="193">
        <v>5251</v>
      </c>
      <c r="P129" s="193"/>
      <c r="Q129" s="138">
        <f t="shared" si="2"/>
        <v>6000</v>
      </c>
      <c r="R129" s="114">
        <f t="shared" si="3"/>
        <v>0</v>
      </c>
      <c r="S129" s="161"/>
    </row>
    <row r="130" spans="1:19" s="16" customFormat="1" ht="24">
      <c r="A130" s="2" t="s">
        <v>250</v>
      </c>
      <c r="B130" s="7" t="s">
        <v>5</v>
      </c>
      <c r="C130" s="8" t="s">
        <v>251</v>
      </c>
      <c r="D130" s="9" t="s">
        <v>5</v>
      </c>
      <c r="E130" s="18" t="s">
        <v>193</v>
      </c>
      <c r="F130" s="72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79">
        <f t="shared" si="2"/>
        <v>0</v>
      </c>
      <c r="R130" s="151">
        <f t="shared" si="3"/>
        <v>6000</v>
      </c>
      <c r="S130" s="160"/>
    </row>
    <row r="131" spans="1:19" s="122" customFormat="1" ht="24">
      <c r="A131" s="118" t="s">
        <v>252</v>
      </c>
      <c r="B131" s="119" t="s">
        <v>5</v>
      </c>
      <c r="C131" s="105" t="s">
        <v>253</v>
      </c>
      <c r="D131" s="106" t="s">
        <v>5</v>
      </c>
      <c r="E131" s="120" t="s">
        <v>193</v>
      </c>
      <c r="F131" s="192">
        <v>726</v>
      </c>
      <c r="G131" s="193">
        <v>1870</v>
      </c>
      <c r="H131" s="193">
        <v>2054</v>
      </c>
      <c r="I131" s="193"/>
      <c r="J131" s="193"/>
      <c r="K131" s="193"/>
      <c r="L131" s="193"/>
      <c r="M131" s="193">
        <v>1350</v>
      </c>
      <c r="N131" s="193"/>
      <c r="O131" s="193"/>
      <c r="P131" s="193"/>
      <c r="Q131" s="138">
        <f t="shared" si="2"/>
        <v>6000</v>
      </c>
      <c r="R131" s="114">
        <f t="shared" si="3"/>
        <v>0</v>
      </c>
      <c r="S131" s="161"/>
    </row>
    <row r="132" spans="1:19" s="122" customFormat="1" ht="24">
      <c r="A132" s="118" t="s">
        <v>254</v>
      </c>
      <c r="B132" s="119" t="s">
        <v>5</v>
      </c>
      <c r="C132" s="105" t="s">
        <v>255</v>
      </c>
      <c r="D132" s="106" t="s">
        <v>5</v>
      </c>
      <c r="E132" s="120" t="s">
        <v>193</v>
      </c>
      <c r="F132" s="192"/>
      <c r="G132" s="193">
        <v>450</v>
      </c>
      <c r="H132" s="193"/>
      <c r="I132" s="193"/>
      <c r="J132" s="193"/>
      <c r="K132" s="193"/>
      <c r="L132" s="193"/>
      <c r="M132" s="193">
        <f>1975+1020</f>
        <v>2995</v>
      </c>
      <c r="N132" s="193"/>
      <c r="O132" s="193"/>
      <c r="P132" s="193">
        <v>2555</v>
      </c>
      <c r="Q132" s="138">
        <f t="shared" si="2"/>
        <v>6000</v>
      </c>
      <c r="R132" s="114">
        <f t="shared" si="3"/>
        <v>0</v>
      </c>
      <c r="S132" s="161"/>
    </row>
    <row r="133" spans="1:19" s="122" customFormat="1" ht="24">
      <c r="A133" s="118" t="s">
        <v>256</v>
      </c>
      <c r="B133" s="119" t="s">
        <v>5</v>
      </c>
      <c r="C133" s="105" t="s">
        <v>257</v>
      </c>
      <c r="D133" s="106" t="s">
        <v>5</v>
      </c>
      <c r="E133" s="120" t="s">
        <v>193</v>
      </c>
      <c r="F133" s="192"/>
      <c r="G133" s="193">
        <v>520</v>
      </c>
      <c r="H133" s="193"/>
      <c r="I133" s="193"/>
      <c r="J133" s="193">
        <v>480</v>
      </c>
      <c r="K133" s="193"/>
      <c r="L133" s="193"/>
      <c r="M133" s="193"/>
      <c r="N133" s="193"/>
      <c r="O133" s="193">
        <v>5000</v>
      </c>
      <c r="P133" s="193"/>
      <c r="Q133" s="138">
        <f t="shared" si="2"/>
        <v>6000</v>
      </c>
      <c r="R133" s="114">
        <f t="shared" si="3"/>
        <v>0</v>
      </c>
      <c r="S133" s="161"/>
    </row>
    <row r="134" spans="1:19" s="16" customFormat="1" ht="24">
      <c r="A134" s="2" t="s">
        <v>258</v>
      </c>
      <c r="B134" s="7" t="s">
        <v>5</v>
      </c>
      <c r="C134" s="8" t="s">
        <v>259</v>
      </c>
      <c r="D134" s="9" t="s">
        <v>5</v>
      </c>
      <c r="E134" s="18" t="s">
        <v>193</v>
      </c>
      <c r="F134" s="72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79">
        <f t="shared" si="2"/>
        <v>0</v>
      </c>
      <c r="R134" s="151">
        <f t="shared" si="3"/>
        <v>6000</v>
      </c>
      <c r="S134" s="160"/>
    </row>
    <row r="135" spans="1:19" s="16" customFormat="1" ht="24">
      <c r="A135" s="2" t="s">
        <v>260</v>
      </c>
      <c r="B135" s="7" t="s">
        <v>5</v>
      </c>
      <c r="C135" s="8" t="s">
        <v>261</v>
      </c>
      <c r="D135" s="9" t="s">
        <v>5</v>
      </c>
      <c r="E135" s="18" t="s">
        <v>193</v>
      </c>
      <c r="F135" s="72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79">
        <f t="shared" si="2"/>
        <v>0</v>
      </c>
      <c r="R135" s="151">
        <f t="shared" si="3"/>
        <v>6000</v>
      </c>
      <c r="S135" s="160"/>
    </row>
    <row r="136" spans="1:19" s="16" customFormat="1" ht="24">
      <c r="A136" s="2" t="s">
        <v>262</v>
      </c>
      <c r="B136" s="7" t="s">
        <v>5</v>
      </c>
      <c r="C136" s="8" t="s">
        <v>263</v>
      </c>
      <c r="D136" s="9" t="s">
        <v>5</v>
      </c>
      <c r="E136" s="18" t="s">
        <v>193</v>
      </c>
      <c r="F136" s="72"/>
      <c r="G136" s="139"/>
      <c r="H136" s="139"/>
      <c r="I136" s="139"/>
      <c r="J136" s="139"/>
      <c r="K136" s="139"/>
      <c r="L136" s="139"/>
      <c r="M136" s="139">
        <v>1037</v>
      </c>
      <c r="N136" s="139"/>
      <c r="O136" s="139">
        <v>1155</v>
      </c>
      <c r="P136" s="139">
        <f>857+2001</f>
        <v>2858</v>
      </c>
      <c r="Q136" s="79">
        <f t="shared" si="2"/>
        <v>5050</v>
      </c>
      <c r="R136" s="151">
        <f t="shared" si="3"/>
        <v>950</v>
      </c>
      <c r="S136" s="160"/>
    </row>
    <row r="137" spans="1:19" s="122" customFormat="1" ht="24">
      <c r="A137" s="118" t="s">
        <v>264</v>
      </c>
      <c r="B137" s="119" t="s">
        <v>5</v>
      </c>
      <c r="C137" s="105" t="s">
        <v>265</v>
      </c>
      <c r="D137" s="106" t="s">
        <v>5</v>
      </c>
      <c r="E137" s="120" t="s">
        <v>193</v>
      </c>
      <c r="F137" s="192"/>
      <c r="G137" s="193"/>
      <c r="H137" s="193"/>
      <c r="I137" s="193"/>
      <c r="J137" s="193"/>
      <c r="K137" s="193">
        <v>4880</v>
      </c>
      <c r="L137" s="193"/>
      <c r="M137" s="193"/>
      <c r="N137" s="193"/>
      <c r="O137" s="193">
        <v>1120</v>
      </c>
      <c r="P137" s="193"/>
      <c r="Q137" s="138">
        <f t="shared" si="2"/>
        <v>6000</v>
      </c>
      <c r="R137" s="114">
        <f t="shared" si="3"/>
        <v>0</v>
      </c>
      <c r="S137" s="161"/>
    </row>
    <row r="138" spans="1:19" s="122" customFormat="1" ht="24">
      <c r="A138" s="118" t="s">
        <v>266</v>
      </c>
      <c r="B138" s="119" t="s">
        <v>5</v>
      </c>
      <c r="C138" s="105" t="s">
        <v>267</v>
      </c>
      <c r="D138" s="106" t="s">
        <v>5</v>
      </c>
      <c r="E138" s="120" t="s">
        <v>193</v>
      </c>
      <c r="F138" s="192"/>
      <c r="G138" s="193"/>
      <c r="H138" s="193"/>
      <c r="I138" s="193"/>
      <c r="J138" s="193">
        <f>2656+542</f>
        <v>3198</v>
      </c>
      <c r="K138" s="193"/>
      <c r="L138" s="193">
        <v>2802</v>
      </c>
      <c r="M138" s="193"/>
      <c r="N138" s="193"/>
      <c r="O138" s="193"/>
      <c r="P138" s="193"/>
      <c r="Q138" s="138">
        <f t="shared" si="2"/>
        <v>6000</v>
      </c>
      <c r="R138" s="114">
        <f t="shared" si="3"/>
        <v>0</v>
      </c>
      <c r="S138" s="161"/>
    </row>
    <row r="139" spans="1:19" s="16" customFormat="1" ht="24">
      <c r="A139" s="2" t="s">
        <v>268</v>
      </c>
      <c r="B139" s="7" t="s">
        <v>5</v>
      </c>
      <c r="C139" s="8" t="s">
        <v>269</v>
      </c>
      <c r="D139" s="9" t="s">
        <v>5</v>
      </c>
      <c r="E139" s="18" t="s">
        <v>193</v>
      </c>
      <c r="F139" s="72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79">
        <f t="shared" si="2"/>
        <v>0</v>
      </c>
      <c r="R139" s="151">
        <f t="shared" si="3"/>
        <v>6000</v>
      </c>
      <c r="S139" s="160"/>
    </row>
    <row r="140" spans="1:19" s="122" customFormat="1" ht="24">
      <c r="A140" s="118" t="s">
        <v>270</v>
      </c>
      <c r="B140" s="119" t="s">
        <v>5</v>
      </c>
      <c r="C140" s="105" t="s">
        <v>271</v>
      </c>
      <c r="D140" s="106" t="s">
        <v>5</v>
      </c>
      <c r="E140" s="120" t="s">
        <v>193</v>
      </c>
      <c r="F140" s="192">
        <v>1126</v>
      </c>
      <c r="G140" s="193"/>
      <c r="H140" s="193"/>
      <c r="I140" s="193"/>
      <c r="J140" s="193">
        <v>2080</v>
      </c>
      <c r="K140" s="193"/>
      <c r="L140" s="193"/>
      <c r="M140" s="193"/>
      <c r="N140" s="193"/>
      <c r="O140" s="193"/>
      <c r="P140" s="193">
        <v>2794</v>
      </c>
      <c r="Q140" s="138">
        <f aca="true" t="shared" si="4" ref="Q140:Q209">SUM(F140:P140)</f>
        <v>6000</v>
      </c>
      <c r="R140" s="114">
        <f aca="true" t="shared" si="5" ref="R140:R209">6000-Q140</f>
        <v>0</v>
      </c>
      <c r="S140" s="161"/>
    </row>
    <row r="141" spans="1:19" s="122" customFormat="1" ht="24">
      <c r="A141" s="118" t="s">
        <v>272</v>
      </c>
      <c r="B141" s="119" t="s">
        <v>5</v>
      </c>
      <c r="C141" s="105" t="s">
        <v>273</v>
      </c>
      <c r="D141" s="106" t="s">
        <v>5</v>
      </c>
      <c r="E141" s="120" t="s">
        <v>193</v>
      </c>
      <c r="F141" s="192"/>
      <c r="G141" s="193"/>
      <c r="H141" s="193"/>
      <c r="I141" s="193"/>
      <c r="J141" s="193"/>
      <c r="K141" s="193"/>
      <c r="L141" s="193"/>
      <c r="M141" s="193"/>
      <c r="N141" s="193">
        <v>6000</v>
      </c>
      <c r="O141" s="193"/>
      <c r="P141" s="193"/>
      <c r="Q141" s="138">
        <f t="shared" si="4"/>
        <v>6000</v>
      </c>
      <c r="R141" s="114">
        <f t="shared" si="5"/>
        <v>0</v>
      </c>
      <c r="S141" s="161"/>
    </row>
    <row r="142" spans="1:19" s="16" customFormat="1" ht="24">
      <c r="A142" s="2" t="s">
        <v>274</v>
      </c>
      <c r="B142" s="32" t="s">
        <v>5</v>
      </c>
      <c r="C142" s="33" t="s">
        <v>275</v>
      </c>
      <c r="D142" s="12" t="s">
        <v>5</v>
      </c>
      <c r="E142" s="89" t="s">
        <v>193</v>
      </c>
      <c r="F142" s="90"/>
      <c r="G142" s="140"/>
      <c r="H142" s="140"/>
      <c r="I142" s="140"/>
      <c r="J142" s="140">
        <f>540+1740</f>
        <v>2280</v>
      </c>
      <c r="K142" s="140"/>
      <c r="L142" s="140"/>
      <c r="M142" s="140"/>
      <c r="N142" s="140"/>
      <c r="O142" s="140"/>
      <c r="P142" s="140">
        <v>1165.5</v>
      </c>
      <c r="Q142" s="79">
        <f t="shared" si="4"/>
        <v>3445.5</v>
      </c>
      <c r="R142" s="151">
        <f t="shared" si="5"/>
        <v>2554.5</v>
      </c>
      <c r="S142" s="160"/>
    </row>
    <row r="143" spans="1:19" s="16" customFormat="1" ht="24">
      <c r="A143" s="2" t="s">
        <v>276</v>
      </c>
      <c r="B143" s="82" t="s">
        <v>5</v>
      </c>
      <c r="C143" s="83" t="s">
        <v>277</v>
      </c>
      <c r="D143" s="14" t="s">
        <v>5</v>
      </c>
      <c r="E143" s="23" t="s">
        <v>193</v>
      </c>
      <c r="F143" s="73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79">
        <f t="shared" si="4"/>
        <v>0</v>
      </c>
      <c r="R143" s="151">
        <f t="shared" si="5"/>
        <v>6000</v>
      </c>
      <c r="S143" s="160"/>
    </row>
    <row r="144" spans="1:19" s="16" customFormat="1" ht="24">
      <c r="A144" s="2" t="s">
        <v>278</v>
      </c>
      <c r="B144" s="7" t="s">
        <v>5</v>
      </c>
      <c r="C144" s="8" t="s">
        <v>279</v>
      </c>
      <c r="D144" s="9" t="s">
        <v>5</v>
      </c>
      <c r="E144" s="18" t="s">
        <v>193</v>
      </c>
      <c r="F144" s="72"/>
      <c r="G144" s="139"/>
      <c r="H144" s="139"/>
      <c r="I144" s="139"/>
      <c r="J144" s="139"/>
      <c r="K144" s="139"/>
      <c r="L144" s="139"/>
      <c r="M144" s="139"/>
      <c r="N144" s="139"/>
      <c r="O144" s="139">
        <v>541</v>
      </c>
      <c r="P144" s="139"/>
      <c r="Q144" s="79">
        <f t="shared" si="4"/>
        <v>541</v>
      </c>
      <c r="R144" s="151">
        <f t="shared" si="5"/>
        <v>5459</v>
      </c>
      <c r="S144" s="160"/>
    </row>
    <row r="145" spans="1:19" s="122" customFormat="1" ht="24">
      <c r="A145" s="118" t="s">
        <v>280</v>
      </c>
      <c r="B145" s="119" t="s">
        <v>5</v>
      </c>
      <c r="C145" s="105" t="s">
        <v>281</v>
      </c>
      <c r="D145" s="106" t="s">
        <v>5</v>
      </c>
      <c r="E145" s="120" t="s">
        <v>193</v>
      </c>
      <c r="F145" s="192"/>
      <c r="G145" s="193"/>
      <c r="H145" s="193"/>
      <c r="I145" s="193"/>
      <c r="J145" s="193"/>
      <c r="K145" s="193">
        <v>1000</v>
      </c>
      <c r="L145" s="193">
        <f>330+330+330+470+330</f>
        <v>1790</v>
      </c>
      <c r="M145" s="193">
        <f>340+330+330+330</f>
        <v>1330</v>
      </c>
      <c r="N145" s="193"/>
      <c r="O145" s="193"/>
      <c r="P145" s="193">
        <f>200+400+350+400+400+130</f>
        <v>1880</v>
      </c>
      <c r="Q145" s="138">
        <f t="shared" si="4"/>
        <v>6000</v>
      </c>
      <c r="R145" s="114">
        <f t="shared" si="5"/>
        <v>0</v>
      </c>
      <c r="S145" s="161"/>
    </row>
    <row r="146" spans="1:19" s="122" customFormat="1" ht="24">
      <c r="A146" s="118"/>
      <c r="B146" s="119" t="s">
        <v>418</v>
      </c>
      <c r="C146" s="105" t="s">
        <v>884</v>
      </c>
      <c r="D146" s="106" t="s">
        <v>5</v>
      </c>
      <c r="E146" s="120" t="s">
        <v>193</v>
      </c>
      <c r="F146" s="192"/>
      <c r="G146" s="193"/>
      <c r="H146" s="193"/>
      <c r="I146" s="193"/>
      <c r="J146" s="193"/>
      <c r="K146" s="193">
        <v>1800</v>
      </c>
      <c r="L146" s="193"/>
      <c r="M146" s="193"/>
      <c r="N146" s="193">
        <v>3420</v>
      </c>
      <c r="O146" s="193"/>
      <c r="P146" s="193">
        <v>780</v>
      </c>
      <c r="Q146" s="138">
        <f t="shared" si="4"/>
        <v>6000</v>
      </c>
      <c r="R146" s="114">
        <f t="shared" si="5"/>
        <v>0</v>
      </c>
      <c r="S146" s="161"/>
    </row>
    <row r="147" spans="1:19" s="16" customFormat="1" ht="24">
      <c r="A147" s="2"/>
      <c r="B147" s="7" t="s">
        <v>5</v>
      </c>
      <c r="C147" s="8" t="s">
        <v>894</v>
      </c>
      <c r="D147" s="9" t="s">
        <v>5</v>
      </c>
      <c r="E147" s="18" t="s">
        <v>193</v>
      </c>
      <c r="F147" s="72"/>
      <c r="G147" s="139"/>
      <c r="H147" s="139"/>
      <c r="I147" s="139"/>
      <c r="J147" s="139"/>
      <c r="K147" s="139"/>
      <c r="L147" s="139"/>
      <c r="M147" s="139"/>
      <c r="N147" s="139"/>
      <c r="O147" s="139">
        <v>800</v>
      </c>
      <c r="P147" s="139">
        <v>600</v>
      </c>
      <c r="Q147" s="79">
        <f t="shared" si="4"/>
        <v>1400</v>
      </c>
      <c r="R147" s="151">
        <f t="shared" si="5"/>
        <v>4600</v>
      </c>
      <c r="S147" s="160"/>
    </row>
    <row r="148" spans="1:19" s="16" customFormat="1" ht="24">
      <c r="A148" s="2"/>
      <c r="B148" s="7" t="s">
        <v>5</v>
      </c>
      <c r="C148" s="8" t="s">
        <v>895</v>
      </c>
      <c r="D148" s="9" t="s">
        <v>5</v>
      </c>
      <c r="E148" s="18" t="s">
        <v>193</v>
      </c>
      <c r="F148" s="72"/>
      <c r="G148" s="139"/>
      <c r="H148" s="139"/>
      <c r="I148" s="139"/>
      <c r="J148" s="139"/>
      <c r="K148" s="139"/>
      <c r="L148" s="139"/>
      <c r="M148" s="139"/>
      <c r="N148" s="139"/>
      <c r="O148" s="139">
        <v>400</v>
      </c>
      <c r="P148" s="139">
        <f>2100+350</f>
        <v>2450</v>
      </c>
      <c r="Q148" s="79">
        <f t="shared" si="4"/>
        <v>2850</v>
      </c>
      <c r="R148" s="151">
        <f t="shared" si="5"/>
        <v>3150</v>
      </c>
      <c r="S148" s="160"/>
    </row>
    <row r="149" spans="1:19" s="16" customFormat="1" ht="24">
      <c r="A149" s="2"/>
      <c r="B149" s="7" t="s">
        <v>5</v>
      </c>
      <c r="C149" s="8" t="s">
        <v>901</v>
      </c>
      <c r="D149" s="9" t="s">
        <v>5</v>
      </c>
      <c r="E149" s="18" t="s">
        <v>193</v>
      </c>
      <c r="F149" s="72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>
        <v>350</v>
      </c>
      <c r="Q149" s="79">
        <f t="shared" si="4"/>
        <v>350</v>
      </c>
      <c r="R149" s="151">
        <f t="shared" si="5"/>
        <v>5650</v>
      </c>
      <c r="S149" s="160"/>
    </row>
    <row r="150" spans="1:19" s="16" customFormat="1" ht="24">
      <c r="A150" s="2" t="s">
        <v>282</v>
      </c>
      <c r="B150" s="3" t="s">
        <v>5</v>
      </c>
      <c r="C150" s="4" t="s">
        <v>283</v>
      </c>
      <c r="D150" s="5" t="s">
        <v>5</v>
      </c>
      <c r="E150" s="11" t="s">
        <v>284</v>
      </c>
      <c r="F150" s="66"/>
      <c r="G150" s="128"/>
      <c r="H150" s="128"/>
      <c r="I150" s="128"/>
      <c r="J150" s="128"/>
      <c r="K150" s="128"/>
      <c r="L150" s="128"/>
      <c r="M150" s="128"/>
      <c r="N150" s="128"/>
      <c r="O150" s="128">
        <v>1180</v>
      </c>
      <c r="P150" s="128"/>
      <c r="Q150" s="79">
        <f t="shared" si="4"/>
        <v>1180</v>
      </c>
      <c r="R150" s="151">
        <f t="shared" si="5"/>
        <v>4820</v>
      </c>
      <c r="S150" s="160"/>
    </row>
    <row r="151" spans="1:19" s="16" customFormat="1" ht="24">
      <c r="A151" s="2" t="s">
        <v>285</v>
      </c>
      <c r="B151" s="3" t="s">
        <v>5</v>
      </c>
      <c r="C151" s="4" t="s">
        <v>286</v>
      </c>
      <c r="D151" s="5" t="s">
        <v>5</v>
      </c>
      <c r="E151" s="11" t="s">
        <v>284</v>
      </c>
      <c r="F151" s="66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79">
        <f t="shared" si="4"/>
        <v>0</v>
      </c>
      <c r="R151" s="151">
        <f t="shared" si="5"/>
        <v>6000</v>
      </c>
      <c r="S151" s="160"/>
    </row>
    <row r="152" spans="1:19" s="16" customFormat="1" ht="24">
      <c r="A152" s="2" t="s">
        <v>287</v>
      </c>
      <c r="B152" s="30" t="s">
        <v>5</v>
      </c>
      <c r="C152" s="84" t="s">
        <v>288</v>
      </c>
      <c r="D152" s="9" t="s">
        <v>5</v>
      </c>
      <c r="E152" s="10" t="s">
        <v>284</v>
      </c>
      <c r="F152" s="65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79">
        <f t="shared" si="4"/>
        <v>0</v>
      </c>
      <c r="R152" s="151">
        <f t="shared" si="5"/>
        <v>6000</v>
      </c>
      <c r="S152" s="160"/>
    </row>
    <row r="153" spans="1:19" s="16" customFormat="1" ht="24">
      <c r="A153" s="2" t="s">
        <v>289</v>
      </c>
      <c r="B153" s="7" t="s">
        <v>5</v>
      </c>
      <c r="C153" s="8" t="s">
        <v>290</v>
      </c>
      <c r="D153" s="9" t="s">
        <v>5</v>
      </c>
      <c r="E153" s="10" t="s">
        <v>284</v>
      </c>
      <c r="F153" s="65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79">
        <f t="shared" si="4"/>
        <v>0</v>
      </c>
      <c r="R153" s="151">
        <f t="shared" si="5"/>
        <v>6000</v>
      </c>
      <c r="S153" s="160"/>
    </row>
    <row r="154" spans="1:19" s="16" customFormat="1" ht="24">
      <c r="A154" s="2" t="s">
        <v>291</v>
      </c>
      <c r="B154" s="3" t="s">
        <v>5</v>
      </c>
      <c r="C154" s="4" t="s">
        <v>292</v>
      </c>
      <c r="D154" s="5" t="s">
        <v>5</v>
      </c>
      <c r="E154" s="11" t="s">
        <v>284</v>
      </c>
      <c r="F154" s="66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79">
        <f t="shared" si="4"/>
        <v>0</v>
      </c>
      <c r="R154" s="151">
        <f t="shared" si="5"/>
        <v>6000</v>
      </c>
      <c r="S154" s="160"/>
    </row>
    <row r="155" spans="1:19" s="16" customFormat="1" ht="24">
      <c r="A155" s="2" t="s">
        <v>293</v>
      </c>
      <c r="B155" s="3" t="s">
        <v>5</v>
      </c>
      <c r="C155" s="4" t="s">
        <v>294</v>
      </c>
      <c r="D155" s="5" t="s">
        <v>5</v>
      </c>
      <c r="E155" s="11" t="s">
        <v>284</v>
      </c>
      <c r="F155" s="66"/>
      <c r="G155" s="128">
        <f>2170+980</f>
        <v>3150</v>
      </c>
      <c r="H155" s="128">
        <v>1260</v>
      </c>
      <c r="I155" s="128">
        <v>430</v>
      </c>
      <c r="J155" s="128"/>
      <c r="K155" s="128">
        <v>600</v>
      </c>
      <c r="L155" s="128"/>
      <c r="M155" s="128"/>
      <c r="N155" s="128"/>
      <c r="O155" s="128"/>
      <c r="P155" s="128"/>
      <c r="Q155" s="79">
        <f t="shared" si="4"/>
        <v>5440</v>
      </c>
      <c r="R155" s="151">
        <f t="shared" si="5"/>
        <v>560</v>
      </c>
      <c r="S155" s="160"/>
    </row>
    <row r="156" spans="1:19" s="16" customFormat="1" ht="24">
      <c r="A156" s="2" t="s">
        <v>295</v>
      </c>
      <c r="B156" s="3" t="s">
        <v>5</v>
      </c>
      <c r="C156" s="4" t="s">
        <v>296</v>
      </c>
      <c r="D156" s="5" t="s">
        <v>5</v>
      </c>
      <c r="E156" s="11" t="s">
        <v>284</v>
      </c>
      <c r="F156" s="66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79">
        <f t="shared" si="4"/>
        <v>0</v>
      </c>
      <c r="R156" s="151">
        <f t="shared" si="5"/>
        <v>6000</v>
      </c>
      <c r="S156" s="160"/>
    </row>
    <row r="157" spans="1:19" s="16" customFormat="1" ht="24">
      <c r="A157" s="2" t="s">
        <v>297</v>
      </c>
      <c r="B157" s="3" t="s">
        <v>5</v>
      </c>
      <c r="C157" s="4" t="s">
        <v>298</v>
      </c>
      <c r="D157" s="5" t="s">
        <v>5</v>
      </c>
      <c r="E157" s="11" t="s">
        <v>284</v>
      </c>
      <c r="F157" s="66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79">
        <f t="shared" si="4"/>
        <v>0</v>
      </c>
      <c r="R157" s="151">
        <f t="shared" si="5"/>
        <v>6000</v>
      </c>
      <c r="S157" s="160"/>
    </row>
    <row r="158" spans="1:19" s="16" customFormat="1" ht="24">
      <c r="A158" s="2" t="s">
        <v>299</v>
      </c>
      <c r="B158" s="30" t="s">
        <v>5</v>
      </c>
      <c r="C158" s="84" t="s">
        <v>300</v>
      </c>
      <c r="D158" s="9" t="s">
        <v>5</v>
      </c>
      <c r="E158" s="10" t="s">
        <v>284</v>
      </c>
      <c r="F158" s="65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79">
        <f t="shared" si="4"/>
        <v>0</v>
      </c>
      <c r="R158" s="151">
        <f t="shared" si="5"/>
        <v>6000</v>
      </c>
      <c r="S158" s="160"/>
    </row>
    <row r="159" spans="1:19" s="16" customFormat="1" ht="24">
      <c r="A159" s="2" t="s">
        <v>301</v>
      </c>
      <c r="B159" s="30" t="s">
        <v>5</v>
      </c>
      <c r="C159" s="84" t="s">
        <v>302</v>
      </c>
      <c r="D159" s="9" t="s">
        <v>5</v>
      </c>
      <c r="E159" s="10" t="s">
        <v>284</v>
      </c>
      <c r="F159" s="65"/>
      <c r="G159" s="127"/>
      <c r="H159" s="127"/>
      <c r="I159" s="127">
        <v>840</v>
      </c>
      <c r="J159" s="127"/>
      <c r="K159" s="127"/>
      <c r="L159" s="127"/>
      <c r="M159" s="127"/>
      <c r="N159" s="127"/>
      <c r="O159" s="127"/>
      <c r="P159" s="127"/>
      <c r="Q159" s="79">
        <f t="shared" si="4"/>
        <v>840</v>
      </c>
      <c r="R159" s="151">
        <f t="shared" si="5"/>
        <v>5160</v>
      </c>
      <c r="S159" s="160"/>
    </row>
    <row r="160" spans="1:19" s="122" customFormat="1" ht="24">
      <c r="A160" s="118" t="s">
        <v>303</v>
      </c>
      <c r="B160" s="96" t="s">
        <v>5</v>
      </c>
      <c r="C160" s="177" t="s">
        <v>304</v>
      </c>
      <c r="D160" s="106" t="s">
        <v>5</v>
      </c>
      <c r="E160" s="107" t="s">
        <v>284</v>
      </c>
      <c r="F160" s="164"/>
      <c r="G160" s="165"/>
      <c r="H160" s="165"/>
      <c r="I160" s="165"/>
      <c r="J160" s="165"/>
      <c r="K160" s="165"/>
      <c r="L160" s="165"/>
      <c r="M160" s="165">
        <v>6000</v>
      </c>
      <c r="N160" s="165"/>
      <c r="O160" s="165"/>
      <c r="P160" s="165"/>
      <c r="Q160" s="138">
        <f t="shared" si="4"/>
        <v>6000</v>
      </c>
      <c r="R160" s="114">
        <f t="shared" si="5"/>
        <v>0</v>
      </c>
      <c r="S160" s="161"/>
    </row>
    <row r="161" spans="1:19" s="122" customFormat="1" ht="24">
      <c r="A161" s="118" t="s">
        <v>305</v>
      </c>
      <c r="B161" s="119" t="s">
        <v>5</v>
      </c>
      <c r="C161" s="105" t="s">
        <v>306</v>
      </c>
      <c r="D161" s="106" t="s">
        <v>5</v>
      </c>
      <c r="E161" s="107" t="s">
        <v>284</v>
      </c>
      <c r="F161" s="164"/>
      <c r="G161" s="165">
        <v>3114</v>
      </c>
      <c r="H161" s="165"/>
      <c r="I161" s="165">
        <v>2428</v>
      </c>
      <c r="J161" s="165"/>
      <c r="K161" s="165">
        <v>458</v>
      </c>
      <c r="L161" s="165"/>
      <c r="M161" s="165"/>
      <c r="N161" s="165"/>
      <c r="O161" s="165"/>
      <c r="P161" s="165"/>
      <c r="Q161" s="138">
        <f t="shared" si="4"/>
        <v>6000</v>
      </c>
      <c r="R161" s="114">
        <f t="shared" si="5"/>
        <v>0</v>
      </c>
      <c r="S161" s="161"/>
    </row>
    <row r="162" spans="1:19" s="16" customFormat="1" ht="24">
      <c r="A162" s="2" t="s">
        <v>307</v>
      </c>
      <c r="B162" s="7" t="s">
        <v>5</v>
      </c>
      <c r="C162" s="8" t="s">
        <v>308</v>
      </c>
      <c r="D162" s="9" t="s">
        <v>5</v>
      </c>
      <c r="E162" s="10" t="s">
        <v>284</v>
      </c>
      <c r="F162" s="65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79">
        <f t="shared" si="4"/>
        <v>0</v>
      </c>
      <c r="R162" s="151">
        <f t="shared" si="5"/>
        <v>6000</v>
      </c>
      <c r="S162" s="160"/>
    </row>
    <row r="163" spans="1:19" s="16" customFormat="1" ht="24">
      <c r="A163" s="2" t="s">
        <v>309</v>
      </c>
      <c r="B163" s="30" t="s">
        <v>5</v>
      </c>
      <c r="C163" s="84" t="s">
        <v>310</v>
      </c>
      <c r="D163" s="9" t="s">
        <v>5</v>
      </c>
      <c r="E163" s="10" t="s">
        <v>284</v>
      </c>
      <c r="F163" s="65"/>
      <c r="G163" s="127"/>
      <c r="H163" s="127"/>
      <c r="I163" s="127"/>
      <c r="J163" s="127"/>
      <c r="K163" s="127">
        <v>2932</v>
      </c>
      <c r="L163" s="127"/>
      <c r="M163" s="127">
        <v>2682</v>
      </c>
      <c r="N163" s="127"/>
      <c r="O163" s="127"/>
      <c r="P163" s="127"/>
      <c r="Q163" s="79">
        <f t="shared" si="4"/>
        <v>5614</v>
      </c>
      <c r="R163" s="151">
        <f t="shared" si="5"/>
        <v>386</v>
      </c>
      <c r="S163" s="160"/>
    </row>
    <row r="164" spans="1:19" s="122" customFormat="1" ht="24">
      <c r="A164" s="118" t="s">
        <v>311</v>
      </c>
      <c r="B164" s="154" t="s">
        <v>5</v>
      </c>
      <c r="C164" s="97" t="s">
        <v>312</v>
      </c>
      <c r="D164" s="98" t="s">
        <v>5</v>
      </c>
      <c r="E164" s="99" t="s">
        <v>284</v>
      </c>
      <c r="F164" s="178">
        <v>3300</v>
      </c>
      <c r="G164" s="110">
        <v>2700</v>
      </c>
      <c r="H164" s="110"/>
      <c r="I164" s="110"/>
      <c r="J164" s="110"/>
      <c r="K164" s="110"/>
      <c r="L164" s="110"/>
      <c r="M164" s="110"/>
      <c r="N164" s="110"/>
      <c r="O164" s="110"/>
      <c r="P164" s="110"/>
      <c r="Q164" s="138">
        <f t="shared" si="4"/>
        <v>6000</v>
      </c>
      <c r="R164" s="114">
        <f t="shared" si="5"/>
        <v>0</v>
      </c>
      <c r="S164" s="161"/>
    </row>
    <row r="165" spans="1:19" s="122" customFormat="1" ht="24">
      <c r="A165" s="118" t="s">
        <v>313</v>
      </c>
      <c r="B165" s="119" t="s">
        <v>5</v>
      </c>
      <c r="C165" s="105" t="s">
        <v>314</v>
      </c>
      <c r="D165" s="106" t="s">
        <v>5</v>
      </c>
      <c r="E165" s="107" t="s">
        <v>284</v>
      </c>
      <c r="F165" s="164"/>
      <c r="G165" s="165"/>
      <c r="H165" s="165"/>
      <c r="I165" s="165"/>
      <c r="J165" s="165">
        <v>6000</v>
      </c>
      <c r="K165" s="165"/>
      <c r="L165" s="165"/>
      <c r="M165" s="165"/>
      <c r="N165" s="165"/>
      <c r="O165" s="165"/>
      <c r="P165" s="165"/>
      <c r="Q165" s="138">
        <f t="shared" si="4"/>
        <v>6000</v>
      </c>
      <c r="R165" s="114">
        <f t="shared" si="5"/>
        <v>0</v>
      </c>
      <c r="S165" s="161"/>
    </row>
    <row r="166" spans="1:19" s="16" customFormat="1" ht="24">
      <c r="A166" s="2" t="s">
        <v>315</v>
      </c>
      <c r="B166" s="7" t="s">
        <v>5</v>
      </c>
      <c r="C166" s="8" t="s">
        <v>316</v>
      </c>
      <c r="D166" s="9" t="s">
        <v>5</v>
      </c>
      <c r="E166" s="10" t="s">
        <v>284</v>
      </c>
      <c r="F166" s="65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79">
        <f t="shared" si="4"/>
        <v>0</v>
      </c>
      <c r="R166" s="151">
        <f t="shared" si="5"/>
        <v>6000</v>
      </c>
      <c r="S166" s="160"/>
    </row>
    <row r="167" spans="1:19" s="16" customFormat="1" ht="24">
      <c r="A167" s="2" t="s">
        <v>317</v>
      </c>
      <c r="B167" s="30" t="s">
        <v>5</v>
      </c>
      <c r="C167" s="84" t="s">
        <v>318</v>
      </c>
      <c r="D167" s="9" t="s">
        <v>5</v>
      </c>
      <c r="E167" s="10" t="s">
        <v>284</v>
      </c>
      <c r="F167" s="65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79">
        <f t="shared" si="4"/>
        <v>0</v>
      </c>
      <c r="R167" s="151">
        <f t="shared" si="5"/>
        <v>6000</v>
      </c>
      <c r="S167" s="160"/>
    </row>
    <row r="168" spans="1:19" s="16" customFormat="1" ht="24">
      <c r="A168" s="2" t="s">
        <v>319</v>
      </c>
      <c r="B168" s="3" t="s">
        <v>5</v>
      </c>
      <c r="C168" s="4" t="s">
        <v>320</v>
      </c>
      <c r="D168" s="5" t="s">
        <v>5</v>
      </c>
      <c r="E168" s="11" t="s">
        <v>284</v>
      </c>
      <c r="F168" s="66"/>
      <c r="G168" s="128"/>
      <c r="H168" s="128"/>
      <c r="I168" s="128">
        <v>2200</v>
      </c>
      <c r="J168" s="128"/>
      <c r="K168" s="128">
        <v>650</v>
      </c>
      <c r="L168" s="128"/>
      <c r="M168" s="128"/>
      <c r="N168" s="128"/>
      <c r="O168" s="128"/>
      <c r="P168" s="128"/>
      <c r="Q168" s="79">
        <f t="shared" si="4"/>
        <v>2850</v>
      </c>
      <c r="R168" s="151">
        <f t="shared" si="5"/>
        <v>3150</v>
      </c>
      <c r="S168" s="160"/>
    </row>
    <row r="169" spans="1:19" s="16" customFormat="1" ht="24">
      <c r="A169" s="2" t="s">
        <v>321</v>
      </c>
      <c r="B169" s="30" t="s">
        <v>5</v>
      </c>
      <c r="C169" s="84" t="s">
        <v>322</v>
      </c>
      <c r="D169" s="9" t="s">
        <v>5</v>
      </c>
      <c r="E169" s="10" t="s">
        <v>284</v>
      </c>
      <c r="F169" s="65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79">
        <f t="shared" si="4"/>
        <v>0</v>
      </c>
      <c r="R169" s="151">
        <f t="shared" si="5"/>
        <v>6000</v>
      </c>
      <c r="S169" s="160"/>
    </row>
    <row r="170" spans="1:19" s="122" customFormat="1" ht="24">
      <c r="A170" s="118" t="s">
        <v>323</v>
      </c>
      <c r="B170" s="154" t="s">
        <v>5</v>
      </c>
      <c r="C170" s="97" t="s">
        <v>324</v>
      </c>
      <c r="D170" s="98" t="s">
        <v>5</v>
      </c>
      <c r="E170" s="107" t="s">
        <v>284</v>
      </c>
      <c r="F170" s="108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>
        <v>6000</v>
      </c>
      <c r="Q170" s="138">
        <f t="shared" si="4"/>
        <v>6000</v>
      </c>
      <c r="R170" s="114">
        <f t="shared" si="5"/>
        <v>0</v>
      </c>
      <c r="S170" s="161"/>
    </row>
    <row r="171" spans="1:19" s="16" customFormat="1" ht="24">
      <c r="A171" s="2" t="s">
        <v>325</v>
      </c>
      <c r="B171" s="3" t="s">
        <v>5</v>
      </c>
      <c r="C171" s="4" t="s">
        <v>326</v>
      </c>
      <c r="D171" s="5" t="s">
        <v>5</v>
      </c>
      <c r="E171" s="10" t="s">
        <v>284</v>
      </c>
      <c r="F171" s="65">
        <v>700</v>
      </c>
      <c r="G171" s="127"/>
      <c r="H171" s="127"/>
      <c r="I171" s="127"/>
      <c r="J171" s="127">
        <v>2080</v>
      </c>
      <c r="K171" s="127">
        <v>2150</v>
      </c>
      <c r="L171" s="127"/>
      <c r="M171" s="127"/>
      <c r="N171" s="127"/>
      <c r="O171" s="127"/>
      <c r="P171" s="127"/>
      <c r="Q171" s="79">
        <f t="shared" si="4"/>
        <v>4930</v>
      </c>
      <c r="R171" s="151">
        <f t="shared" si="5"/>
        <v>1070</v>
      </c>
      <c r="S171" s="160"/>
    </row>
    <row r="172" spans="1:19" s="16" customFormat="1" ht="24">
      <c r="A172" s="2" t="s">
        <v>327</v>
      </c>
      <c r="B172" s="3" t="s">
        <v>5</v>
      </c>
      <c r="C172" s="4" t="s">
        <v>328</v>
      </c>
      <c r="D172" s="5" t="s">
        <v>5</v>
      </c>
      <c r="E172" s="10" t="s">
        <v>284</v>
      </c>
      <c r="F172" s="65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79">
        <f t="shared" si="4"/>
        <v>0</v>
      </c>
      <c r="R172" s="151">
        <f t="shared" si="5"/>
        <v>6000</v>
      </c>
      <c r="S172" s="160"/>
    </row>
    <row r="173" spans="1:19" s="16" customFormat="1" ht="24">
      <c r="A173" s="2" t="s">
        <v>329</v>
      </c>
      <c r="B173" s="3" t="s">
        <v>5</v>
      </c>
      <c r="C173" s="4" t="s">
        <v>330</v>
      </c>
      <c r="D173" s="5" t="s">
        <v>5</v>
      </c>
      <c r="E173" s="10" t="s">
        <v>284</v>
      </c>
      <c r="F173" s="65"/>
      <c r="G173" s="127"/>
      <c r="H173" s="127"/>
      <c r="I173" s="127"/>
      <c r="J173" s="127"/>
      <c r="K173" s="127"/>
      <c r="L173" s="127"/>
      <c r="M173" s="127">
        <f>1869.5+600</f>
        <v>2469.5</v>
      </c>
      <c r="N173" s="127"/>
      <c r="O173" s="127"/>
      <c r="P173" s="127">
        <v>3294</v>
      </c>
      <c r="Q173" s="79">
        <f t="shared" si="4"/>
        <v>5763.5</v>
      </c>
      <c r="R173" s="151">
        <f t="shared" si="5"/>
        <v>236.5</v>
      </c>
      <c r="S173" s="160"/>
    </row>
    <row r="174" spans="1:19" s="16" customFormat="1" ht="24">
      <c r="A174" s="2" t="s">
        <v>331</v>
      </c>
      <c r="B174" s="3" t="s">
        <v>5</v>
      </c>
      <c r="C174" s="4" t="s">
        <v>332</v>
      </c>
      <c r="D174" s="5" t="s">
        <v>5</v>
      </c>
      <c r="E174" s="10" t="s">
        <v>284</v>
      </c>
      <c r="F174" s="65"/>
      <c r="G174" s="127">
        <v>2335</v>
      </c>
      <c r="H174" s="127"/>
      <c r="I174" s="127"/>
      <c r="J174" s="127"/>
      <c r="K174" s="127"/>
      <c r="L174" s="127"/>
      <c r="M174" s="127"/>
      <c r="N174" s="127"/>
      <c r="O174" s="127"/>
      <c r="P174" s="127"/>
      <c r="Q174" s="79">
        <f t="shared" si="4"/>
        <v>2335</v>
      </c>
      <c r="R174" s="151">
        <f t="shared" si="5"/>
        <v>3665</v>
      </c>
      <c r="S174" s="160"/>
    </row>
    <row r="175" spans="1:19" s="16" customFormat="1" ht="24">
      <c r="A175" s="2" t="s">
        <v>333</v>
      </c>
      <c r="B175" s="3" t="s">
        <v>5</v>
      </c>
      <c r="C175" s="4" t="s">
        <v>334</v>
      </c>
      <c r="D175" s="5" t="s">
        <v>5</v>
      </c>
      <c r="E175" s="10" t="s">
        <v>284</v>
      </c>
      <c r="F175" s="65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79">
        <f t="shared" si="4"/>
        <v>0</v>
      </c>
      <c r="R175" s="151">
        <f t="shared" si="5"/>
        <v>6000</v>
      </c>
      <c r="S175" s="160"/>
    </row>
    <row r="176" spans="1:19" s="16" customFormat="1" ht="24">
      <c r="A176" s="2" t="s">
        <v>335</v>
      </c>
      <c r="B176" s="3" t="s">
        <v>5</v>
      </c>
      <c r="C176" s="4" t="s">
        <v>336</v>
      </c>
      <c r="D176" s="5" t="s">
        <v>5</v>
      </c>
      <c r="E176" s="10" t="s">
        <v>284</v>
      </c>
      <c r="F176" s="65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79">
        <f t="shared" si="4"/>
        <v>0</v>
      </c>
      <c r="R176" s="151">
        <f t="shared" si="5"/>
        <v>6000</v>
      </c>
      <c r="S176" s="160"/>
    </row>
    <row r="177" spans="1:19" s="122" customFormat="1" ht="24">
      <c r="A177" s="118" t="s">
        <v>337</v>
      </c>
      <c r="B177" s="154" t="s">
        <v>5</v>
      </c>
      <c r="C177" s="97" t="s">
        <v>338</v>
      </c>
      <c r="D177" s="98" t="s">
        <v>5</v>
      </c>
      <c r="E177" s="107" t="s">
        <v>284</v>
      </c>
      <c r="F177" s="164"/>
      <c r="G177" s="165"/>
      <c r="H177" s="165"/>
      <c r="I177" s="165"/>
      <c r="J177" s="165"/>
      <c r="K177" s="165"/>
      <c r="L177" s="165">
        <v>6000</v>
      </c>
      <c r="M177" s="165"/>
      <c r="N177" s="165"/>
      <c r="O177" s="165"/>
      <c r="P177" s="165"/>
      <c r="Q177" s="138">
        <f t="shared" si="4"/>
        <v>6000</v>
      </c>
      <c r="R177" s="114">
        <f t="shared" si="5"/>
        <v>0</v>
      </c>
      <c r="S177" s="161"/>
    </row>
    <row r="178" spans="1:19" s="16" customFormat="1" ht="24">
      <c r="A178" s="2" t="s">
        <v>339</v>
      </c>
      <c r="B178" s="3" t="s">
        <v>5</v>
      </c>
      <c r="C178" s="4" t="s">
        <v>340</v>
      </c>
      <c r="D178" s="5" t="s">
        <v>5</v>
      </c>
      <c r="E178" s="10" t="s">
        <v>284</v>
      </c>
      <c r="F178" s="65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79">
        <f t="shared" si="4"/>
        <v>0</v>
      </c>
      <c r="R178" s="151">
        <f t="shared" si="5"/>
        <v>6000</v>
      </c>
      <c r="S178" s="160"/>
    </row>
    <row r="179" spans="1:19" s="16" customFormat="1" ht="24">
      <c r="A179" s="2" t="s">
        <v>341</v>
      </c>
      <c r="B179" s="19" t="s">
        <v>5</v>
      </c>
      <c r="C179" s="20" t="s">
        <v>342</v>
      </c>
      <c r="D179" s="21" t="s">
        <v>5</v>
      </c>
      <c r="E179" s="13" t="s">
        <v>284</v>
      </c>
      <c r="F179" s="67"/>
      <c r="G179" s="130"/>
      <c r="H179" s="130">
        <v>1160</v>
      </c>
      <c r="I179" s="130"/>
      <c r="J179" s="130"/>
      <c r="K179" s="130"/>
      <c r="L179" s="130"/>
      <c r="M179" s="130"/>
      <c r="N179" s="130"/>
      <c r="O179" s="130"/>
      <c r="P179" s="130"/>
      <c r="Q179" s="79">
        <f t="shared" si="4"/>
        <v>1160</v>
      </c>
      <c r="R179" s="151">
        <f t="shared" si="5"/>
        <v>4840</v>
      </c>
      <c r="S179" s="160"/>
    </row>
    <row r="180" spans="1:19" s="122" customFormat="1" ht="24">
      <c r="A180" s="118" t="s">
        <v>343</v>
      </c>
      <c r="B180" s="244" t="s">
        <v>5</v>
      </c>
      <c r="C180" s="220" t="s">
        <v>344</v>
      </c>
      <c r="D180" s="221" t="s">
        <v>5</v>
      </c>
      <c r="E180" s="208" t="s">
        <v>284</v>
      </c>
      <c r="F180" s="209"/>
      <c r="G180" s="210"/>
      <c r="H180" s="210"/>
      <c r="I180" s="210">
        <v>880</v>
      </c>
      <c r="J180" s="210"/>
      <c r="K180" s="210"/>
      <c r="L180" s="210"/>
      <c r="M180" s="210"/>
      <c r="N180" s="210"/>
      <c r="O180" s="210"/>
      <c r="P180" s="210">
        <v>5120</v>
      </c>
      <c r="Q180" s="138">
        <f t="shared" si="4"/>
        <v>6000</v>
      </c>
      <c r="R180" s="114">
        <f t="shared" si="5"/>
        <v>0</v>
      </c>
      <c r="S180" s="161"/>
    </row>
    <row r="181" spans="1:19" s="16" customFormat="1" ht="24">
      <c r="A181" s="2"/>
      <c r="B181" s="180" t="s">
        <v>5</v>
      </c>
      <c r="C181" s="93" t="s">
        <v>879</v>
      </c>
      <c r="D181" s="94" t="s">
        <v>5</v>
      </c>
      <c r="E181" s="181" t="s">
        <v>284</v>
      </c>
      <c r="F181" s="182"/>
      <c r="G181" s="183"/>
      <c r="H181" s="183"/>
      <c r="I181" s="183"/>
      <c r="J181" s="183">
        <v>1025</v>
      </c>
      <c r="K181" s="183"/>
      <c r="L181" s="183"/>
      <c r="M181" s="183"/>
      <c r="N181" s="183"/>
      <c r="O181" s="183"/>
      <c r="P181" s="183"/>
      <c r="Q181" s="79">
        <f t="shared" si="4"/>
        <v>1025</v>
      </c>
      <c r="R181" s="151">
        <f t="shared" si="5"/>
        <v>4975</v>
      </c>
      <c r="S181" s="160"/>
    </row>
    <row r="182" spans="1:19" s="16" customFormat="1" ht="24">
      <c r="A182" s="2"/>
      <c r="B182" s="180" t="s">
        <v>5</v>
      </c>
      <c r="C182" s="93" t="s">
        <v>881</v>
      </c>
      <c r="D182" s="94" t="s">
        <v>5</v>
      </c>
      <c r="E182" s="181" t="s">
        <v>284</v>
      </c>
      <c r="F182" s="182"/>
      <c r="G182" s="183"/>
      <c r="H182" s="183"/>
      <c r="I182" s="183"/>
      <c r="J182" s="183"/>
      <c r="K182" s="183">
        <v>1387.65</v>
      </c>
      <c r="L182" s="183"/>
      <c r="M182" s="183">
        <v>628</v>
      </c>
      <c r="N182" s="183"/>
      <c r="O182" s="183">
        <v>500</v>
      </c>
      <c r="P182" s="183">
        <v>2195</v>
      </c>
      <c r="Q182" s="79">
        <f t="shared" si="4"/>
        <v>4710.65</v>
      </c>
      <c r="R182" s="151">
        <f t="shared" si="5"/>
        <v>1289.3500000000004</v>
      </c>
      <c r="S182" s="160"/>
    </row>
    <row r="183" spans="1:19" s="122" customFormat="1" ht="24">
      <c r="A183" s="118" t="s">
        <v>345</v>
      </c>
      <c r="B183" s="154" t="s">
        <v>5</v>
      </c>
      <c r="C183" s="97" t="s">
        <v>346</v>
      </c>
      <c r="D183" s="98" t="s">
        <v>5</v>
      </c>
      <c r="E183" s="99" t="s">
        <v>347</v>
      </c>
      <c r="F183" s="178"/>
      <c r="G183" s="110"/>
      <c r="H183" s="110"/>
      <c r="I183" s="110">
        <v>2300</v>
      </c>
      <c r="J183" s="110"/>
      <c r="K183" s="110"/>
      <c r="L183" s="110"/>
      <c r="M183" s="110"/>
      <c r="N183" s="110">
        <v>3700</v>
      </c>
      <c r="O183" s="110"/>
      <c r="P183" s="110"/>
      <c r="Q183" s="138">
        <f t="shared" si="4"/>
        <v>6000</v>
      </c>
      <c r="R183" s="114">
        <f t="shared" si="5"/>
        <v>0</v>
      </c>
      <c r="S183" s="161"/>
    </row>
    <row r="184" spans="1:19" s="16" customFormat="1" ht="24">
      <c r="A184" s="2" t="s">
        <v>348</v>
      </c>
      <c r="B184" s="7" t="s">
        <v>5</v>
      </c>
      <c r="C184" s="8" t="s">
        <v>349</v>
      </c>
      <c r="D184" s="9" t="s">
        <v>5</v>
      </c>
      <c r="E184" s="10" t="s">
        <v>347</v>
      </c>
      <c r="F184" s="65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79">
        <f t="shared" si="4"/>
        <v>0</v>
      </c>
      <c r="R184" s="151">
        <f t="shared" si="5"/>
        <v>6000</v>
      </c>
      <c r="S184" s="160"/>
    </row>
    <row r="185" spans="1:19" s="122" customFormat="1" ht="24">
      <c r="A185" s="118" t="s">
        <v>350</v>
      </c>
      <c r="B185" s="119" t="s">
        <v>5</v>
      </c>
      <c r="C185" s="105" t="s">
        <v>351</v>
      </c>
      <c r="D185" s="106" t="s">
        <v>5</v>
      </c>
      <c r="E185" s="107" t="s">
        <v>347</v>
      </c>
      <c r="F185" s="164"/>
      <c r="G185" s="165"/>
      <c r="H185" s="165">
        <f>1040+1120+3840</f>
        <v>6000</v>
      </c>
      <c r="I185" s="165"/>
      <c r="J185" s="165"/>
      <c r="K185" s="165"/>
      <c r="L185" s="165"/>
      <c r="M185" s="165"/>
      <c r="N185" s="165"/>
      <c r="O185" s="165"/>
      <c r="P185" s="165"/>
      <c r="Q185" s="138">
        <f t="shared" si="4"/>
        <v>6000</v>
      </c>
      <c r="R185" s="114">
        <f t="shared" si="5"/>
        <v>0</v>
      </c>
      <c r="S185" s="161"/>
    </row>
    <row r="186" spans="1:19" s="16" customFormat="1" ht="24">
      <c r="A186" s="2" t="s">
        <v>352</v>
      </c>
      <c r="B186" s="7" t="s">
        <v>5</v>
      </c>
      <c r="C186" s="8" t="s">
        <v>353</v>
      </c>
      <c r="D186" s="9" t="s">
        <v>5</v>
      </c>
      <c r="E186" s="10" t="s">
        <v>347</v>
      </c>
      <c r="F186" s="65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79">
        <f t="shared" si="4"/>
        <v>0</v>
      </c>
      <c r="R186" s="151">
        <f t="shared" si="5"/>
        <v>6000</v>
      </c>
      <c r="S186" s="160"/>
    </row>
    <row r="187" spans="1:19" s="122" customFormat="1" ht="24">
      <c r="A187" s="118" t="s">
        <v>354</v>
      </c>
      <c r="B187" s="154" t="s">
        <v>5</v>
      </c>
      <c r="C187" s="97" t="s">
        <v>355</v>
      </c>
      <c r="D187" s="98" t="s">
        <v>5</v>
      </c>
      <c r="E187" s="194" t="s">
        <v>347</v>
      </c>
      <c r="F187" s="195">
        <v>1000</v>
      </c>
      <c r="G187" s="196"/>
      <c r="H187" s="196"/>
      <c r="I187" s="196"/>
      <c r="J187" s="196"/>
      <c r="K187" s="196"/>
      <c r="L187" s="196"/>
      <c r="M187" s="196">
        <f>490+250+973+1000+200</f>
        <v>2913</v>
      </c>
      <c r="N187" s="196"/>
      <c r="O187" s="196">
        <v>2087</v>
      </c>
      <c r="P187" s="196"/>
      <c r="Q187" s="138">
        <f t="shared" si="4"/>
        <v>6000</v>
      </c>
      <c r="R187" s="114">
        <f t="shared" si="5"/>
        <v>0</v>
      </c>
      <c r="S187" s="161"/>
    </row>
    <row r="188" spans="1:19" s="16" customFormat="1" ht="24">
      <c r="A188" s="2" t="s">
        <v>356</v>
      </c>
      <c r="B188" s="7" t="s">
        <v>5</v>
      </c>
      <c r="C188" s="8" t="s">
        <v>357</v>
      </c>
      <c r="D188" s="9" t="s">
        <v>5</v>
      </c>
      <c r="E188" s="10" t="s">
        <v>347</v>
      </c>
      <c r="F188" s="65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>
        <f>1800+3285+450</f>
        <v>5535</v>
      </c>
      <c r="Q188" s="79">
        <f t="shared" si="4"/>
        <v>5535</v>
      </c>
      <c r="R188" s="151">
        <f t="shared" si="5"/>
        <v>465</v>
      </c>
      <c r="S188" s="160"/>
    </row>
    <row r="189" spans="1:19" s="122" customFormat="1" ht="24">
      <c r="A189" s="118" t="s">
        <v>358</v>
      </c>
      <c r="B189" s="154" t="s">
        <v>5</v>
      </c>
      <c r="C189" s="97" t="s">
        <v>359</v>
      </c>
      <c r="D189" s="98" t="s">
        <v>5</v>
      </c>
      <c r="E189" s="194" t="s">
        <v>347</v>
      </c>
      <c r="F189" s="195"/>
      <c r="G189" s="196"/>
      <c r="H189" s="196"/>
      <c r="I189" s="196"/>
      <c r="J189" s="196"/>
      <c r="K189" s="196">
        <f>790+1290+1010+600</f>
        <v>3690</v>
      </c>
      <c r="L189" s="196"/>
      <c r="M189" s="196">
        <v>840</v>
      </c>
      <c r="N189" s="196"/>
      <c r="O189" s="196">
        <v>1470</v>
      </c>
      <c r="P189" s="196"/>
      <c r="Q189" s="138">
        <f t="shared" si="4"/>
        <v>6000</v>
      </c>
      <c r="R189" s="114">
        <f t="shared" si="5"/>
        <v>0</v>
      </c>
      <c r="S189" s="161"/>
    </row>
    <row r="190" spans="1:19" s="122" customFormat="1" ht="24">
      <c r="A190" s="118" t="s">
        <v>360</v>
      </c>
      <c r="B190" s="104" t="s">
        <v>5</v>
      </c>
      <c r="C190" s="211" t="s">
        <v>361</v>
      </c>
      <c r="D190" s="106" t="s">
        <v>5</v>
      </c>
      <c r="E190" s="107" t="s">
        <v>347</v>
      </c>
      <c r="F190" s="164"/>
      <c r="G190" s="165"/>
      <c r="H190" s="165"/>
      <c r="I190" s="165"/>
      <c r="J190" s="165"/>
      <c r="K190" s="165"/>
      <c r="L190" s="165">
        <v>2159</v>
      </c>
      <c r="M190" s="165">
        <v>1832</v>
      </c>
      <c r="N190" s="165">
        <v>1423</v>
      </c>
      <c r="O190" s="165">
        <v>586</v>
      </c>
      <c r="P190" s="165"/>
      <c r="Q190" s="138">
        <f t="shared" si="4"/>
        <v>6000</v>
      </c>
      <c r="R190" s="114">
        <f t="shared" si="5"/>
        <v>0</v>
      </c>
      <c r="S190" s="161" t="s">
        <v>888</v>
      </c>
    </row>
    <row r="191" spans="1:19" s="16" customFormat="1" ht="24">
      <c r="A191" s="2" t="s">
        <v>362</v>
      </c>
      <c r="B191" s="30" t="s">
        <v>5</v>
      </c>
      <c r="C191" s="84" t="s">
        <v>363</v>
      </c>
      <c r="D191" s="9" t="s">
        <v>5</v>
      </c>
      <c r="E191" s="10" t="s">
        <v>347</v>
      </c>
      <c r="F191" s="65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79">
        <f t="shared" si="4"/>
        <v>0</v>
      </c>
      <c r="R191" s="151">
        <f t="shared" si="5"/>
        <v>6000</v>
      </c>
      <c r="S191" s="160"/>
    </row>
    <row r="192" spans="1:19" s="16" customFormat="1" ht="24">
      <c r="A192" s="2" t="s">
        <v>364</v>
      </c>
      <c r="B192" s="3" t="s">
        <v>5</v>
      </c>
      <c r="C192" s="4" t="s">
        <v>365</v>
      </c>
      <c r="D192" s="5" t="s">
        <v>5</v>
      </c>
      <c r="E192" s="11" t="s">
        <v>347</v>
      </c>
      <c r="F192" s="66"/>
      <c r="G192" s="128"/>
      <c r="H192" s="128"/>
      <c r="I192" s="128"/>
      <c r="J192" s="128"/>
      <c r="K192" s="128"/>
      <c r="L192" s="128">
        <v>5210</v>
      </c>
      <c r="M192" s="128"/>
      <c r="N192" s="128"/>
      <c r="O192" s="128"/>
      <c r="P192" s="128"/>
      <c r="Q192" s="79">
        <f t="shared" si="4"/>
        <v>5210</v>
      </c>
      <c r="R192" s="151">
        <f t="shared" si="5"/>
        <v>790</v>
      </c>
      <c r="S192" s="160"/>
    </row>
    <row r="193" spans="1:19" s="122" customFormat="1" ht="24">
      <c r="A193" s="118" t="s">
        <v>366</v>
      </c>
      <c r="B193" s="119" t="s">
        <v>5</v>
      </c>
      <c r="C193" s="105" t="s">
        <v>367</v>
      </c>
      <c r="D193" s="106" t="s">
        <v>5</v>
      </c>
      <c r="E193" s="107" t="s">
        <v>347</v>
      </c>
      <c r="F193" s="164"/>
      <c r="G193" s="165">
        <v>1190</v>
      </c>
      <c r="H193" s="165">
        <f>1730+1871</f>
        <v>3601</v>
      </c>
      <c r="I193" s="165">
        <v>1209</v>
      </c>
      <c r="J193" s="165"/>
      <c r="K193" s="165"/>
      <c r="L193" s="165"/>
      <c r="M193" s="165"/>
      <c r="N193" s="165"/>
      <c r="O193" s="165"/>
      <c r="P193" s="165"/>
      <c r="Q193" s="138">
        <f t="shared" si="4"/>
        <v>6000</v>
      </c>
      <c r="R193" s="114">
        <f t="shared" si="5"/>
        <v>0</v>
      </c>
      <c r="S193" s="161"/>
    </row>
    <row r="194" spans="1:19" s="122" customFormat="1" ht="24">
      <c r="A194" s="118" t="s">
        <v>368</v>
      </c>
      <c r="B194" s="96" t="s">
        <v>5</v>
      </c>
      <c r="C194" s="177" t="s">
        <v>369</v>
      </c>
      <c r="D194" s="106" t="s">
        <v>5</v>
      </c>
      <c r="E194" s="107" t="s">
        <v>347</v>
      </c>
      <c r="F194" s="164"/>
      <c r="G194" s="165"/>
      <c r="H194" s="165"/>
      <c r="I194" s="165"/>
      <c r="J194" s="165">
        <f>2500+3500</f>
        <v>6000</v>
      </c>
      <c r="K194" s="165"/>
      <c r="L194" s="165"/>
      <c r="M194" s="165"/>
      <c r="N194" s="165"/>
      <c r="O194" s="165"/>
      <c r="P194" s="165"/>
      <c r="Q194" s="138">
        <f t="shared" si="4"/>
        <v>6000</v>
      </c>
      <c r="R194" s="114">
        <f t="shared" si="5"/>
        <v>0</v>
      </c>
      <c r="S194" s="161"/>
    </row>
    <row r="195" spans="1:19" s="122" customFormat="1" ht="24">
      <c r="A195" s="118" t="s">
        <v>370</v>
      </c>
      <c r="B195" s="96" t="s">
        <v>5</v>
      </c>
      <c r="C195" s="97" t="s">
        <v>371</v>
      </c>
      <c r="D195" s="98" t="s">
        <v>5</v>
      </c>
      <c r="E195" s="99" t="s">
        <v>347</v>
      </c>
      <c r="F195" s="178"/>
      <c r="G195" s="110"/>
      <c r="H195" s="110"/>
      <c r="I195" s="110"/>
      <c r="J195" s="110"/>
      <c r="K195" s="110"/>
      <c r="L195" s="110"/>
      <c r="M195" s="110"/>
      <c r="N195" s="110"/>
      <c r="O195" s="110">
        <v>6000</v>
      </c>
      <c r="P195" s="110"/>
      <c r="Q195" s="138">
        <f t="shared" si="4"/>
        <v>6000</v>
      </c>
      <c r="R195" s="114">
        <f t="shared" si="5"/>
        <v>0</v>
      </c>
      <c r="S195" s="161"/>
    </row>
    <row r="196" spans="1:19" s="16" customFormat="1" ht="24">
      <c r="A196" s="2" t="s">
        <v>372</v>
      </c>
      <c r="B196" s="7" t="s">
        <v>5</v>
      </c>
      <c r="C196" s="8" t="s">
        <v>373</v>
      </c>
      <c r="D196" s="9" t="s">
        <v>5</v>
      </c>
      <c r="E196" s="10" t="s">
        <v>347</v>
      </c>
      <c r="F196" s="65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79">
        <f t="shared" si="4"/>
        <v>0</v>
      </c>
      <c r="R196" s="151">
        <f t="shared" si="5"/>
        <v>6000</v>
      </c>
      <c r="S196" s="160"/>
    </row>
    <row r="197" spans="1:19" s="122" customFormat="1" ht="24">
      <c r="A197" s="118" t="s">
        <v>374</v>
      </c>
      <c r="B197" s="104" t="s">
        <v>5</v>
      </c>
      <c r="C197" s="211" t="s">
        <v>375</v>
      </c>
      <c r="D197" s="106" t="s">
        <v>5</v>
      </c>
      <c r="E197" s="107" t="s">
        <v>347</v>
      </c>
      <c r="F197" s="164"/>
      <c r="G197" s="165"/>
      <c r="H197" s="165"/>
      <c r="I197" s="165"/>
      <c r="J197" s="165"/>
      <c r="K197" s="165">
        <f>3500+1500</f>
        <v>5000</v>
      </c>
      <c r="L197" s="165"/>
      <c r="M197" s="165">
        <v>1000</v>
      </c>
      <c r="N197" s="165"/>
      <c r="O197" s="165"/>
      <c r="P197" s="165"/>
      <c r="Q197" s="138">
        <f t="shared" si="4"/>
        <v>6000</v>
      </c>
      <c r="R197" s="114">
        <f t="shared" si="5"/>
        <v>0</v>
      </c>
      <c r="S197" s="161"/>
    </row>
    <row r="198" spans="1:20" s="16" customFormat="1" ht="24">
      <c r="A198" s="2" t="s">
        <v>376</v>
      </c>
      <c r="B198" s="3" t="s">
        <v>5</v>
      </c>
      <c r="C198" s="4" t="s">
        <v>377</v>
      </c>
      <c r="D198" s="5" t="s">
        <v>5</v>
      </c>
      <c r="E198" s="11" t="s">
        <v>347</v>
      </c>
      <c r="F198" s="56"/>
      <c r="G198" s="133"/>
      <c r="H198" s="133"/>
      <c r="I198" s="133"/>
      <c r="J198" s="133"/>
      <c r="K198" s="133">
        <v>2830</v>
      </c>
      <c r="L198" s="133"/>
      <c r="M198" s="133"/>
      <c r="N198" s="133"/>
      <c r="O198" s="133">
        <v>1980</v>
      </c>
      <c r="P198" s="133"/>
      <c r="Q198" s="79">
        <f t="shared" si="4"/>
        <v>4810</v>
      </c>
      <c r="R198" s="151">
        <f t="shared" si="5"/>
        <v>1190</v>
      </c>
      <c r="S198" s="160" t="s">
        <v>883</v>
      </c>
      <c r="T198" s="16" t="s">
        <v>882</v>
      </c>
    </row>
    <row r="199" spans="1:19" s="37" customFormat="1" ht="24">
      <c r="A199" s="2" t="s">
        <v>378</v>
      </c>
      <c r="B199" s="30" t="s">
        <v>5</v>
      </c>
      <c r="C199" s="84" t="s">
        <v>379</v>
      </c>
      <c r="D199" s="9" t="s">
        <v>5</v>
      </c>
      <c r="E199" s="10" t="s">
        <v>347</v>
      </c>
      <c r="F199" s="58"/>
      <c r="G199" s="136"/>
      <c r="H199" s="136"/>
      <c r="I199" s="136"/>
      <c r="J199" s="136"/>
      <c r="K199" s="136">
        <f>158+3969</f>
        <v>4127</v>
      </c>
      <c r="L199" s="136"/>
      <c r="M199" s="136"/>
      <c r="N199" s="136"/>
      <c r="O199" s="136">
        <v>880</v>
      </c>
      <c r="P199" s="136"/>
      <c r="Q199" s="79">
        <f t="shared" si="4"/>
        <v>5007</v>
      </c>
      <c r="R199" s="151">
        <f t="shared" si="5"/>
        <v>993</v>
      </c>
      <c r="S199" s="160"/>
    </row>
    <row r="200" spans="1:19" s="37" customFormat="1" ht="24">
      <c r="A200" s="2" t="s">
        <v>380</v>
      </c>
      <c r="B200" s="3" t="s">
        <v>5</v>
      </c>
      <c r="C200" s="4" t="s">
        <v>381</v>
      </c>
      <c r="D200" s="5" t="s">
        <v>5</v>
      </c>
      <c r="E200" s="11" t="s">
        <v>347</v>
      </c>
      <c r="F200" s="56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79">
        <f t="shared" si="4"/>
        <v>0</v>
      </c>
      <c r="R200" s="151">
        <f t="shared" si="5"/>
        <v>6000</v>
      </c>
      <c r="S200" s="160"/>
    </row>
    <row r="201" spans="1:19" s="103" customFormat="1" ht="24">
      <c r="A201" s="118" t="s">
        <v>382</v>
      </c>
      <c r="B201" s="154" t="s">
        <v>45</v>
      </c>
      <c r="C201" s="97" t="s">
        <v>383</v>
      </c>
      <c r="D201" s="98" t="s">
        <v>45</v>
      </c>
      <c r="E201" s="194" t="s">
        <v>347</v>
      </c>
      <c r="F201" s="113"/>
      <c r="G201" s="112"/>
      <c r="H201" s="112"/>
      <c r="I201" s="112"/>
      <c r="J201" s="112"/>
      <c r="K201" s="112">
        <f>200+798.5+806+1035.9+490</f>
        <v>3330.4</v>
      </c>
      <c r="L201" s="112"/>
      <c r="M201" s="112">
        <f>2500+169.6</f>
        <v>2669.6</v>
      </c>
      <c r="N201" s="112"/>
      <c r="O201" s="112"/>
      <c r="P201" s="112"/>
      <c r="Q201" s="138">
        <f t="shared" si="4"/>
        <v>6000</v>
      </c>
      <c r="R201" s="114">
        <f t="shared" si="5"/>
        <v>0</v>
      </c>
      <c r="S201" s="161"/>
    </row>
    <row r="202" spans="1:19" s="103" customFormat="1" ht="24">
      <c r="A202" s="118" t="s">
        <v>384</v>
      </c>
      <c r="B202" s="154" t="s">
        <v>385</v>
      </c>
      <c r="C202" s="97" t="s">
        <v>386</v>
      </c>
      <c r="D202" s="98" t="s">
        <v>5</v>
      </c>
      <c r="E202" s="99" t="s">
        <v>347</v>
      </c>
      <c r="F202" s="100"/>
      <c r="G202" s="146">
        <v>400</v>
      </c>
      <c r="H202" s="146">
        <v>800</v>
      </c>
      <c r="I202" s="146">
        <v>760</v>
      </c>
      <c r="J202" s="146">
        <v>1000</v>
      </c>
      <c r="K202" s="146"/>
      <c r="L202" s="146">
        <f>250+690</f>
        <v>940</v>
      </c>
      <c r="M202" s="146">
        <v>1150</v>
      </c>
      <c r="N202" s="146">
        <v>700</v>
      </c>
      <c r="O202" s="146">
        <v>250</v>
      </c>
      <c r="P202" s="146"/>
      <c r="Q202" s="138">
        <f t="shared" si="4"/>
        <v>6000</v>
      </c>
      <c r="R202" s="114">
        <f t="shared" si="5"/>
        <v>0</v>
      </c>
      <c r="S202" s="161" t="s">
        <v>872</v>
      </c>
    </row>
    <row r="203" spans="1:19" s="37" customFormat="1" ht="24">
      <c r="A203" s="2" t="s">
        <v>387</v>
      </c>
      <c r="B203" s="7" t="s">
        <v>5</v>
      </c>
      <c r="C203" s="8" t="s">
        <v>388</v>
      </c>
      <c r="D203" s="9" t="s">
        <v>5</v>
      </c>
      <c r="E203" s="10" t="s">
        <v>347</v>
      </c>
      <c r="F203" s="58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79">
        <f t="shared" si="4"/>
        <v>0</v>
      </c>
      <c r="R203" s="151">
        <f t="shared" si="5"/>
        <v>6000</v>
      </c>
      <c r="S203" s="160"/>
    </row>
    <row r="204" spans="1:19" s="37" customFormat="1" ht="24">
      <c r="A204" s="2" t="s">
        <v>389</v>
      </c>
      <c r="B204" s="75" t="s">
        <v>5</v>
      </c>
      <c r="C204" s="24" t="s">
        <v>390</v>
      </c>
      <c r="D204" s="9" t="s">
        <v>5</v>
      </c>
      <c r="E204" s="10" t="s">
        <v>347</v>
      </c>
      <c r="F204" s="58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79">
        <f t="shared" si="4"/>
        <v>0</v>
      </c>
      <c r="R204" s="151">
        <f t="shared" si="5"/>
        <v>6000</v>
      </c>
      <c r="S204" s="160"/>
    </row>
    <row r="205" spans="1:19" s="103" customFormat="1" ht="24">
      <c r="A205" s="118" t="s">
        <v>391</v>
      </c>
      <c r="B205" s="154" t="s">
        <v>5</v>
      </c>
      <c r="C205" s="97" t="s">
        <v>392</v>
      </c>
      <c r="D205" s="98" t="s">
        <v>5</v>
      </c>
      <c r="E205" s="99" t="s">
        <v>347</v>
      </c>
      <c r="F205" s="100">
        <v>2500</v>
      </c>
      <c r="G205" s="146"/>
      <c r="H205" s="146"/>
      <c r="I205" s="146"/>
      <c r="J205" s="146"/>
      <c r="K205" s="146"/>
      <c r="L205" s="146">
        <v>3500</v>
      </c>
      <c r="M205" s="146"/>
      <c r="N205" s="146"/>
      <c r="O205" s="146"/>
      <c r="P205" s="146"/>
      <c r="Q205" s="138">
        <f t="shared" si="4"/>
        <v>6000</v>
      </c>
      <c r="R205" s="114">
        <f t="shared" si="5"/>
        <v>0</v>
      </c>
      <c r="S205" s="161"/>
    </row>
    <row r="206" spans="1:19" s="37" customFormat="1" ht="24">
      <c r="A206" s="2" t="s">
        <v>393</v>
      </c>
      <c r="B206" s="3" t="s">
        <v>5</v>
      </c>
      <c r="C206" s="4" t="s">
        <v>394</v>
      </c>
      <c r="D206" s="5" t="s">
        <v>5</v>
      </c>
      <c r="E206" s="6" t="s">
        <v>347</v>
      </c>
      <c r="F206" s="60"/>
      <c r="G206" s="129">
        <v>300</v>
      </c>
      <c r="H206" s="129"/>
      <c r="I206" s="129">
        <v>300</v>
      </c>
      <c r="J206" s="129"/>
      <c r="K206" s="129">
        <v>300</v>
      </c>
      <c r="L206" s="129">
        <f>300+300</f>
        <v>600</v>
      </c>
      <c r="M206" s="129">
        <f>1200+300</f>
        <v>1500</v>
      </c>
      <c r="N206" s="129">
        <f>2050+550</f>
        <v>2600</v>
      </c>
      <c r="O206" s="129"/>
      <c r="P206" s="129"/>
      <c r="Q206" s="79">
        <f t="shared" si="4"/>
        <v>5600</v>
      </c>
      <c r="R206" s="151">
        <f t="shared" si="5"/>
        <v>400</v>
      </c>
      <c r="S206" s="160"/>
    </row>
    <row r="207" spans="1:19" s="37" customFormat="1" ht="24">
      <c r="A207" s="2" t="s">
        <v>395</v>
      </c>
      <c r="B207" s="3" t="s">
        <v>45</v>
      </c>
      <c r="C207" s="4" t="s">
        <v>396</v>
      </c>
      <c r="D207" s="5" t="s">
        <v>45</v>
      </c>
      <c r="E207" s="6" t="s">
        <v>347</v>
      </c>
      <c r="F207" s="60"/>
      <c r="G207" s="129">
        <v>0</v>
      </c>
      <c r="H207" s="129"/>
      <c r="I207" s="129"/>
      <c r="J207" s="129"/>
      <c r="K207" s="129"/>
      <c r="L207" s="129"/>
      <c r="M207" s="129">
        <v>750</v>
      </c>
      <c r="N207" s="129">
        <f>250+500</f>
        <v>750</v>
      </c>
      <c r="O207" s="129"/>
      <c r="P207" s="129">
        <f>2000+400+750+1250</f>
        <v>4400</v>
      </c>
      <c r="Q207" s="79">
        <f t="shared" si="4"/>
        <v>5900</v>
      </c>
      <c r="R207" s="151">
        <f t="shared" si="5"/>
        <v>100</v>
      </c>
      <c r="S207" s="160"/>
    </row>
    <row r="208" spans="1:19" s="37" customFormat="1" ht="24">
      <c r="A208" s="2" t="s">
        <v>397</v>
      </c>
      <c r="B208" s="7" t="s">
        <v>5</v>
      </c>
      <c r="C208" s="8" t="s">
        <v>398</v>
      </c>
      <c r="D208" s="9" t="s">
        <v>5</v>
      </c>
      <c r="E208" s="10" t="s">
        <v>347</v>
      </c>
      <c r="F208" s="58"/>
      <c r="G208" s="136"/>
      <c r="H208" s="136">
        <v>600</v>
      </c>
      <c r="I208" s="136">
        <v>480</v>
      </c>
      <c r="J208" s="136"/>
      <c r="K208" s="136"/>
      <c r="L208" s="136"/>
      <c r="M208" s="136">
        <v>1625</v>
      </c>
      <c r="N208" s="136"/>
      <c r="O208" s="136"/>
      <c r="P208" s="136">
        <f>2900+300</f>
        <v>3200</v>
      </c>
      <c r="Q208" s="79">
        <f t="shared" si="4"/>
        <v>5905</v>
      </c>
      <c r="R208" s="151">
        <f t="shared" si="5"/>
        <v>95</v>
      </c>
      <c r="S208" s="160"/>
    </row>
    <row r="209" spans="1:19" s="37" customFormat="1" ht="24">
      <c r="A209" s="2" t="s">
        <v>399</v>
      </c>
      <c r="B209" s="3" t="s">
        <v>50</v>
      </c>
      <c r="C209" s="4" t="s">
        <v>400</v>
      </c>
      <c r="D209" s="5" t="s">
        <v>5</v>
      </c>
      <c r="E209" s="11" t="s">
        <v>347</v>
      </c>
      <c r="F209" s="56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79">
        <f t="shared" si="4"/>
        <v>0</v>
      </c>
      <c r="R209" s="151">
        <f t="shared" si="5"/>
        <v>6000</v>
      </c>
      <c r="S209" s="160"/>
    </row>
    <row r="210" spans="1:19" s="37" customFormat="1" ht="24">
      <c r="A210" s="2" t="s">
        <v>401</v>
      </c>
      <c r="B210" s="75" t="s">
        <v>5</v>
      </c>
      <c r="C210" s="24" t="s">
        <v>402</v>
      </c>
      <c r="D210" s="9" t="s">
        <v>5</v>
      </c>
      <c r="E210" s="10" t="s">
        <v>347</v>
      </c>
      <c r="F210" s="58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79">
        <f aca="true" t="shared" si="6" ref="Q210:Q282">SUM(F210:P210)</f>
        <v>0</v>
      </c>
      <c r="R210" s="151">
        <f aca="true" t="shared" si="7" ref="R210:R248">6000-Q210</f>
        <v>6000</v>
      </c>
      <c r="S210" s="160"/>
    </row>
    <row r="211" spans="1:19" s="37" customFormat="1" ht="24">
      <c r="A211" s="2" t="s">
        <v>403</v>
      </c>
      <c r="B211" s="30" t="s">
        <v>5</v>
      </c>
      <c r="C211" s="84" t="s">
        <v>404</v>
      </c>
      <c r="D211" s="9" t="s">
        <v>5</v>
      </c>
      <c r="E211" s="10" t="s">
        <v>347</v>
      </c>
      <c r="F211" s="58"/>
      <c r="G211" s="136"/>
      <c r="H211" s="136"/>
      <c r="I211" s="136"/>
      <c r="J211" s="136"/>
      <c r="K211" s="136">
        <f>1600+1600</f>
        <v>3200</v>
      </c>
      <c r="L211" s="136"/>
      <c r="M211" s="136"/>
      <c r="N211" s="136"/>
      <c r="O211" s="136"/>
      <c r="P211" s="136"/>
      <c r="Q211" s="79">
        <f t="shared" si="6"/>
        <v>3200</v>
      </c>
      <c r="R211" s="151">
        <f t="shared" si="7"/>
        <v>2800</v>
      </c>
      <c r="S211" s="160"/>
    </row>
    <row r="212" spans="1:19" s="103" customFormat="1" ht="24">
      <c r="A212" s="118" t="s">
        <v>405</v>
      </c>
      <c r="B212" s="154" t="s">
        <v>45</v>
      </c>
      <c r="C212" s="97" t="s">
        <v>406</v>
      </c>
      <c r="D212" s="98" t="s">
        <v>45</v>
      </c>
      <c r="E212" s="99" t="s">
        <v>347</v>
      </c>
      <c r="F212" s="100"/>
      <c r="G212" s="146">
        <v>1948</v>
      </c>
      <c r="H212" s="146"/>
      <c r="I212" s="146"/>
      <c r="J212" s="146">
        <v>1380</v>
      </c>
      <c r="K212" s="146"/>
      <c r="L212" s="146"/>
      <c r="M212" s="146"/>
      <c r="N212" s="146"/>
      <c r="O212" s="146"/>
      <c r="P212" s="146">
        <f>1750+922</f>
        <v>2672</v>
      </c>
      <c r="Q212" s="138">
        <f t="shared" si="6"/>
        <v>6000</v>
      </c>
      <c r="R212" s="114">
        <f t="shared" si="7"/>
        <v>0</v>
      </c>
      <c r="S212" s="161"/>
    </row>
    <row r="213" spans="1:19" s="37" customFormat="1" ht="24">
      <c r="A213" s="2" t="s">
        <v>407</v>
      </c>
      <c r="B213" s="3" t="s">
        <v>45</v>
      </c>
      <c r="C213" s="4" t="s">
        <v>408</v>
      </c>
      <c r="D213" s="5" t="s">
        <v>45</v>
      </c>
      <c r="E213" s="11" t="s">
        <v>347</v>
      </c>
      <c r="F213" s="56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79">
        <f t="shared" si="6"/>
        <v>0</v>
      </c>
      <c r="R213" s="151">
        <f t="shared" si="7"/>
        <v>6000</v>
      </c>
      <c r="S213" s="160"/>
    </row>
    <row r="214" spans="1:19" s="37" customFormat="1" ht="24">
      <c r="A214" s="2" t="s">
        <v>409</v>
      </c>
      <c r="B214" s="32" t="s">
        <v>5</v>
      </c>
      <c r="C214" s="33" t="s">
        <v>410</v>
      </c>
      <c r="D214" s="12" t="s">
        <v>5</v>
      </c>
      <c r="E214" s="13" t="s">
        <v>347</v>
      </c>
      <c r="F214" s="61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79">
        <f t="shared" si="6"/>
        <v>0</v>
      </c>
      <c r="R214" s="151">
        <f t="shared" si="7"/>
        <v>6000</v>
      </c>
      <c r="S214" s="160"/>
    </row>
    <row r="215" spans="1:19" s="37" customFormat="1" ht="24">
      <c r="A215" s="2" t="s">
        <v>411</v>
      </c>
      <c r="B215" s="27" t="s">
        <v>5</v>
      </c>
      <c r="C215" s="28" t="s">
        <v>412</v>
      </c>
      <c r="D215" s="29" t="s">
        <v>5</v>
      </c>
      <c r="E215" s="31" t="s">
        <v>347</v>
      </c>
      <c r="F215" s="51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79">
        <f t="shared" si="6"/>
        <v>0</v>
      </c>
      <c r="R215" s="151">
        <f t="shared" si="7"/>
        <v>6000</v>
      </c>
      <c r="S215" s="160"/>
    </row>
    <row r="216" spans="1:19" s="37" customFormat="1" ht="24">
      <c r="A216" s="2" t="s">
        <v>413</v>
      </c>
      <c r="B216" s="75" t="s">
        <v>5</v>
      </c>
      <c r="C216" s="24" t="s">
        <v>414</v>
      </c>
      <c r="D216" s="9" t="s">
        <v>5</v>
      </c>
      <c r="E216" s="10" t="s">
        <v>347</v>
      </c>
      <c r="F216" s="58"/>
      <c r="G216" s="136"/>
      <c r="H216" s="136"/>
      <c r="I216" s="136"/>
      <c r="J216" s="136"/>
      <c r="K216" s="136"/>
      <c r="L216" s="136">
        <v>780</v>
      </c>
      <c r="M216" s="136"/>
      <c r="N216" s="136"/>
      <c r="O216" s="136"/>
      <c r="P216" s="136"/>
      <c r="Q216" s="79">
        <f t="shared" si="6"/>
        <v>780</v>
      </c>
      <c r="R216" s="151">
        <f t="shared" si="7"/>
        <v>5220</v>
      </c>
      <c r="S216" s="160"/>
    </row>
    <row r="217" spans="1:19" s="37" customFormat="1" ht="24">
      <c r="A217" s="2" t="s">
        <v>415</v>
      </c>
      <c r="B217" s="3" t="s">
        <v>5</v>
      </c>
      <c r="C217" s="4" t="s">
        <v>416</v>
      </c>
      <c r="D217" s="5" t="s">
        <v>5</v>
      </c>
      <c r="E217" s="11" t="s">
        <v>347</v>
      </c>
      <c r="F217" s="56"/>
      <c r="G217" s="133"/>
      <c r="H217" s="133"/>
      <c r="I217" s="133"/>
      <c r="J217" s="133"/>
      <c r="K217" s="133"/>
      <c r="L217" s="133"/>
      <c r="M217" s="133">
        <v>3000</v>
      </c>
      <c r="N217" s="133"/>
      <c r="O217" s="133"/>
      <c r="P217" s="133"/>
      <c r="Q217" s="79">
        <f t="shared" si="6"/>
        <v>3000</v>
      </c>
      <c r="R217" s="151">
        <f t="shared" si="7"/>
        <v>3000</v>
      </c>
      <c r="S217" s="160"/>
    </row>
    <row r="218" spans="1:19" s="103" customFormat="1" ht="24">
      <c r="A218" s="118" t="s">
        <v>417</v>
      </c>
      <c r="B218" s="96" t="s">
        <v>418</v>
      </c>
      <c r="C218" s="97" t="s">
        <v>419</v>
      </c>
      <c r="D218" s="98" t="s">
        <v>5</v>
      </c>
      <c r="E218" s="99" t="s">
        <v>347</v>
      </c>
      <c r="F218" s="100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>
        <f>1600+4400</f>
        <v>6000</v>
      </c>
      <c r="Q218" s="138">
        <f t="shared" si="6"/>
        <v>6000</v>
      </c>
      <c r="R218" s="114">
        <f t="shared" si="7"/>
        <v>0</v>
      </c>
      <c r="S218" s="161"/>
    </row>
    <row r="219" spans="1:19" s="63" customFormat="1" ht="24">
      <c r="A219" s="2" t="s">
        <v>420</v>
      </c>
      <c r="B219" s="7" t="s">
        <v>5</v>
      </c>
      <c r="C219" s="8" t="s">
        <v>421</v>
      </c>
      <c r="D219" s="9" t="s">
        <v>5</v>
      </c>
      <c r="E219" s="10" t="s">
        <v>347</v>
      </c>
      <c r="F219" s="58"/>
      <c r="G219" s="136"/>
      <c r="H219" s="136"/>
      <c r="I219" s="136"/>
      <c r="J219" s="136"/>
      <c r="K219" s="136">
        <v>950</v>
      </c>
      <c r="L219" s="136"/>
      <c r="M219" s="136"/>
      <c r="N219" s="136"/>
      <c r="O219" s="136"/>
      <c r="P219" s="136"/>
      <c r="Q219" s="79">
        <f t="shared" si="6"/>
        <v>950</v>
      </c>
      <c r="R219" s="151">
        <f t="shared" si="7"/>
        <v>5050</v>
      </c>
      <c r="S219" s="160"/>
    </row>
    <row r="220" spans="1:19" s="225" customFormat="1" ht="24">
      <c r="A220" s="118" t="s">
        <v>422</v>
      </c>
      <c r="B220" s="119" t="s">
        <v>5</v>
      </c>
      <c r="C220" s="105" t="s">
        <v>423</v>
      </c>
      <c r="D220" s="106" t="s">
        <v>5</v>
      </c>
      <c r="E220" s="107" t="s">
        <v>347</v>
      </c>
      <c r="F220" s="108"/>
      <c r="G220" s="145"/>
      <c r="H220" s="145">
        <v>5200</v>
      </c>
      <c r="I220" s="145"/>
      <c r="J220" s="145"/>
      <c r="K220" s="145"/>
      <c r="L220" s="145"/>
      <c r="M220" s="145"/>
      <c r="N220" s="145"/>
      <c r="O220" s="145">
        <v>800</v>
      </c>
      <c r="P220" s="145"/>
      <c r="Q220" s="138">
        <f t="shared" si="6"/>
        <v>6000</v>
      </c>
      <c r="R220" s="114">
        <f t="shared" si="7"/>
        <v>0</v>
      </c>
      <c r="S220" s="161"/>
    </row>
    <row r="221" spans="1:19" s="43" customFormat="1" ht="24">
      <c r="A221" s="2" t="s">
        <v>424</v>
      </c>
      <c r="B221" s="7" t="s">
        <v>5</v>
      </c>
      <c r="C221" s="8" t="s">
        <v>425</v>
      </c>
      <c r="D221" s="9" t="s">
        <v>5</v>
      </c>
      <c r="E221" s="10" t="s">
        <v>347</v>
      </c>
      <c r="F221" s="58"/>
      <c r="G221" s="136"/>
      <c r="H221" s="136"/>
      <c r="I221" s="136"/>
      <c r="J221" s="136"/>
      <c r="K221" s="136"/>
      <c r="L221" s="136"/>
      <c r="M221" s="136">
        <v>1580</v>
      </c>
      <c r="N221" s="136"/>
      <c r="O221" s="136"/>
      <c r="P221" s="136"/>
      <c r="Q221" s="79">
        <f t="shared" si="6"/>
        <v>1580</v>
      </c>
      <c r="R221" s="151">
        <f t="shared" si="7"/>
        <v>4420</v>
      </c>
      <c r="S221" s="160"/>
    </row>
    <row r="222" spans="1:19" s="43" customFormat="1" ht="24">
      <c r="A222" s="2" t="s">
        <v>426</v>
      </c>
      <c r="B222" s="7" t="s">
        <v>5</v>
      </c>
      <c r="C222" s="8" t="s">
        <v>427</v>
      </c>
      <c r="D222" s="9" t="s">
        <v>5</v>
      </c>
      <c r="E222" s="10" t="s">
        <v>347</v>
      </c>
      <c r="F222" s="58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79">
        <f t="shared" si="6"/>
        <v>0</v>
      </c>
      <c r="R222" s="151">
        <f t="shared" si="7"/>
        <v>6000</v>
      </c>
      <c r="S222" s="160"/>
    </row>
    <row r="223" spans="1:19" s="43" customFormat="1" ht="24">
      <c r="A223" s="2" t="s">
        <v>428</v>
      </c>
      <c r="B223" s="7" t="s">
        <v>5</v>
      </c>
      <c r="C223" s="8" t="s">
        <v>429</v>
      </c>
      <c r="D223" s="9" t="s">
        <v>5</v>
      </c>
      <c r="E223" s="10" t="s">
        <v>347</v>
      </c>
      <c r="F223" s="58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>
        <f>1800+600</f>
        <v>2400</v>
      </c>
      <c r="Q223" s="79">
        <f t="shared" si="6"/>
        <v>2400</v>
      </c>
      <c r="R223" s="151">
        <f t="shared" si="7"/>
        <v>3600</v>
      </c>
      <c r="S223" s="160"/>
    </row>
    <row r="224" spans="1:19" s="43" customFormat="1" ht="24">
      <c r="A224" s="2" t="s">
        <v>430</v>
      </c>
      <c r="B224" s="7" t="s">
        <v>5</v>
      </c>
      <c r="C224" s="8" t="s">
        <v>431</v>
      </c>
      <c r="D224" s="9" t="s">
        <v>5</v>
      </c>
      <c r="E224" s="10" t="s">
        <v>347</v>
      </c>
      <c r="F224" s="58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79">
        <f t="shared" si="6"/>
        <v>0</v>
      </c>
      <c r="R224" s="151">
        <f t="shared" si="7"/>
        <v>6000</v>
      </c>
      <c r="S224" s="160"/>
    </row>
    <row r="225" spans="1:19" s="43" customFormat="1" ht="24">
      <c r="A225" s="2" t="s">
        <v>432</v>
      </c>
      <c r="B225" s="7" t="s">
        <v>418</v>
      </c>
      <c r="C225" s="8" t="s">
        <v>433</v>
      </c>
      <c r="D225" s="9" t="s">
        <v>5</v>
      </c>
      <c r="E225" s="10" t="s">
        <v>347</v>
      </c>
      <c r="F225" s="58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79">
        <f t="shared" si="6"/>
        <v>0</v>
      </c>
      <c r="R225" s="151">
        <f t="shared" si="7"/>
        <v>6000</v>
      </c>
      <c r="S225" s="160"/>
    </row>
    <row r="226" spans="1:19" s="191" customFormat="1" ht="24">
      <c r="A226" s="118" t="s">
        <v>434</v>
      </c>
      <c r="B226" s="119" t="s">
        <v>5</v>
      </c>
      <c r="C226" s="105" t="s">
        <v>435</v>
      </c>
      <c r="D226" s="106" t="s">
        <v>5</v>
      </c>
      <c r="E226" s="107" t="s">
        <v>347</v>
      </c>
      <c r="F226" s="108"/>
      <c r="G226" s="145"/>
      <c r="H226" s="145"/>
      <c r="I226" s="145"/>
      <c r="J226" s="145"/>
      <c r="K226" s="145"/>
      <c r="L226" s="145"/>
      <c r="M226" s="145">
        <f>420+755+1560</f>
        <v>2735</v>
      </c>
      <c r="N226" s="145"/>
      <c r="O226" s="145">
        <v>690</v>
      </c>
      <c r="P226" s="145">
        <f>1650+925</f>
        <v>2575</v>
      </c>
      <c r="Q226" s="138">
        <f t="shared" si="6"/>
        <v>6000</v>
      </c>
      <c r="R226" s="114">
        <f t="shared" si="7"/>
        <v>0</v>
      </c>
      <c r="S226" s="161"/>
    </row>
    <row r="227" spans="1:19" s="191" customFormat="1" ht="24">
      <c r="A227" s="118" t="s">
        <v>436</v>
      </c>
      <c r="B227" s="119" t="s">
        <v>5</v>
      </c>
      <c r="C227" s="105" t="s">
        <v>437</v>
      </c>
      <c r="D227" s="106" t="s">
        <v>5</v>
      </c>
      <c r="E227" s="107" t="s">
        <v>347</v>
      </c>
      <c r="F227" s="108"/>
      <c r="G227" s="145"/>
      <c r="H227" s="145">
        <f>660+1215</f>
        <v>1875</v>
      </c>
      <c r="I227" s="145"/>
      <c r="J227" s="145"/>
      <c r="K227" s="145"/>
      <c r="L227" s="145"/>
      <c r="M227" s="145"/>
      <c r="N227" s="145"/>
      <c r="O227" s="145"/>
      <c r="P227" s="145">
        <v>4125</v>
      </c>
      <c r="Q227" s="138">
        <f t="shared" si="6"/>
        <v>6000</v>
      </c>
      <c r="R227" s="114">
        <f t="shared" si="7"/>
        <v>0</v>
      </c>
      <c r="S227" s="161"/>
    </row>
    <row r="228" spans="1:19" s="191" customFormat="1" ht="24">
      <c r="A228" s="118" t="s">
        <v>438</v>
      </c>
      <c r="B228" s="119" t="s">
        <v>5</v>
      </c>
      <c r="C228" s="105" t="s">
        <v>439</v>
      </c>
      <c r="D228" s="106" t="s">
        <v>5</v>
      </c>
      <c r="E228" s="107" t="s">
        <v>347</v>
      </c>
      <c r="F228" s="108"/>
      <c r="G228" s="145"/>
      <c r="H228" s="145">
        <v>4343</v>
      </c>
      <c r="I228" s="145"/>
      <c r="J228" s="145"/>
      <c r="K228" s="145">
        <v>740</v>
      </c>
      <c r="L228" s="145">
        <f>330+587</f>
        <v>917</v>
      </c>
      <c r="M228" s="145"/>
      <c r="N228" s="145"/>
      <c r="O228" s="145"/>
      <c r="P228" s="145"/>
      <c r="Q228" s="138">
        <f t="shared" si="6"/>
        <v>6000</v>
      </c>
      <c r="R228" s="114">
        <f t="shared" si="7"/>
        <v>0</v>
      </c>
      <c r="S228" s="161"/>
    </row>
    <row r="229" spans="1:19" s="43" customFormat="1" ht="24">
      <c r="A229" s="2" t="s">
        <v>440</v>
      </c>
      <c r="B229" s="7" t="s">
        <v>5</v>
      </c>
      <c r="C229" s="8" t="s">
        <v>441</v>
      </c>
      <c r="D229" s="9" t="s">
        <v>5</v>
      </c>
      <c r="E229" s="10" t="s">
        <v>347</v>
      </c>
      <c r="F229" s="58"/>
      <c r="G229" s="136"/>
      <c r="H229" s="136"/>
      <c r="I229" s="136"/>
      <c r="J229" s="136"/>
      <c r="K229" s="136"/>
      <c r="L229" s="136"/>
      <c r="M229" s="136">
        <v>2640</v>
      </c>
      <c r="N229" s="136"/>
      <c r="O229" s="136"/>
      <c r="P229" s="136"/>
      <c r="Q229" s="79">
        <f t="shared" si="6"/>
        <v>2640</v>
      </c>
      <c r="R229" s="151">
        <f t="shared" si="7"/>
        <v>3360</v>
      </c>
      <c r="S229" s="160"/>
    </row>
    <row r="230" spans="1:19" s="103" customFormat="1" ht="24">
      <c r="A230" s="118" t="s">
        <v>442</v>
      </c>
      <c r="B230" s="119" t="s">
        <v>5</v>
      </c>
      <c r="C230" s="105" t="s">
        <v>443</v>
      </c>
      <c r="D230" s="106" t="s">
        <v>5</v>
      </c>
      <c r="E230" s="107" t="s">
        <v>347</v>
      </c>
      <c r="F230" s="108"/>
      <c r="G230" s="145"/>
      <c r="H230" s="145"/>
      <c r="I230" s="145"/>
      <c r="J230" s="145">
        <f>490+1000</f>
        <v>1490</v>
      </c>
      <c r="K230" s="145"/>
      <c r="L230" s="145"/>
      <c r="M230" s="145"/>
      <c r="N230" s="145"/>
      <c r="O230" s="145"/>
      <c r="P230" s="145">
        <f>2440+1500+570</f>
        <v>4510</v>
      </c>
      <c r="Q230" s="138">
        <f t="shared" si="6"/>
        <v>6000</v>
      </c>
      <c r="R230" s="114">
        <f t="shared" si="7"/>
        <v>0</v>
      </c>
      <c r="S230" s="161"/>
    </row>
    <row r="231" spans="1:19" s="191" customFormat="1" ht="24">
      <c r="A231" s="118" t="s">
        <v>444</v>
      </c>
      <c r="B231" s="119" t="s">
        <v>445</v>
      </c>
      <c r="C231" s="105" t="s">
        <v>446</v>
      </c>
      <c r="D231" s="106" t="s">
        <v>445</v>
      </c>
      <c r="E231" s="107" t="s">
        <v>347</v>
      </c>
      <c r="F231" s="108"/>
      <c r="G231" s="145"/>
      <c r="H231" s="145"/>
      <c r="I231" s="145"/>
      <c r="J231" s="145"/>
      <c r="K231" s="145"/>
      <c r="L231" s="145"/>
      <c r="M231" s="145"/>
      <c r="N231" s="145">
        <v>6000</v>
      </c>
      <c r="O231" s="145"/>
      <c r="P231" s="145"/>
      <c r="Q231" s="138">
        <f t="shared" si="6"/>
        <v>6000</v>
      </c>
      <c r="R231" s="114">
        <f t="shared" si="7"/>
        <v>0</v>
      </c>
      <c r="S231" s="161"/>
    </row>
    <row r="232" spans="1:19" s="37" customFormat="1" ht="24">
      <c r="A232" s="2" t="s">
        <v>447</v>
      </c>
      <c r="B232" s="7" t="s">
        <v>5</v>
      </c>
      <c r="C232" s="8" t="s">
        <v>448</v>
      </c>
      <c r="D232" s="9" t="s">
        <v>5</v>
      </c>
      <c r="E232" s="10" t="s">
        <v>347</v>
      </c>
      <c r="F232" s="58"/>
      <c r="G232" s="136"/>
      <c r="H232" s="136"/>
      <c r="I232" s="136"/>
      <c r="J232" s="136"/>
      <c r="K232" s="136"/>
      <c r="L232" s="136"/>
      <c r="M232" s="136"/>
      <c r="N232" s="136"/>
      <c r="O232" s="136">
        <v>735</v>
      </c>
      <c r="P232" s="136"/>
      <c r="Q232" s="79">
        <f t="shared" si="6"/>
        <v>735</v>
      </c>
      <c r="R232" s="151">
        <f t="shared" si="7"/>
        <v>5265</v>
      </c>
      <c r="S232" s="160"/>
    </row>
    <row r="233" spans="1:19" s="37" customFormat="1" ht="24">
      <c r="A233" s="2" t="s">
        <v>449</v>
      </c>
      <c r="B233" s="7" t="s">
        <v>5</v>
      </c>
      <c r="C233" s="8" t="s">
        <v>450</v>
      </c>
      <c r="D233" s="9" t="s">
        <v>5</v>
      </c>
      <c r="E233" s="10" t="s">
        <v>347</v>
      </c>
      <c r="F233" s="58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79">
        <f t="shared" si="6"/>
        <v>0</v>
      </c>
      <c r="R233" s="151">
        <f t="shared" si="7"/>
        <v>6000</v>
      </c>
      <c r="S233" s="160"/>
    </row>
    <row r="234" spans="1:19" s="37" customFormat="1" ht="24">
      <c r="A234" s="2" t="s">
        <v>451</v>
      </c>
      <c r="B234" s="7" t="s">
        <v>5</v>
      </c>
      <c r="C234" s="8" t="s">
        <v>452</v>
      </c>
      <c r="D234" s="9" t="s">
        <v>5</v>
      </c>
      <c r="E234" s="10" t="s">
        <v>347</v>
      </c>
      <c r="F234" s="58"/>
      <c r="G234" s="136"/>
      <c r="H234" s="136"/>
      <c r="I234" s="136"/>
      <c r="J234" s="136"/>
      <c r="K234" s="136">
        <v>1210</v>
      </c>
      <c r="L234" s="136"/>
      <c r="M234" s="136"/>
      <c r="N234" s="136"/>
      <c r="O234" s="136"/>
      <c r="P234" s="136"/>
      <c r="Q234" s="79">
        <f t="shared" si="6"/>
        <v>1210</v>
      </c>
      <c r="R234" s="151">
        <f t="shared" si="7"/>
        <v>4790</v>
      </c>
      <c r="S234" s="160"/>
    </row>
    <row r="235" spans="1:19" s="37" customFormat="1" ht="24">
      <c r="A235" s="2" t="s">
        <v>453</v>
      </c>
      <c r="B235" s="7" t="s">
        <v>5</v>
      </c>
      <c r="C235" s="8" t="s">
        <v>454</v>
      </c>
      <c r="D235" s="9" t="s">
        <v>5</v>
      </c>
      <c r="E235" s="10" t="s">
        <v>347</v>
      </c>
      <c r="F235" s="58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>
        <f>270+3000+500</f>
        <v>3770</v>
      </c>
      <c r="Q235" s="79">
        <f t="shared" si="6"/>
        <v>3770</v>
      </c>
      <c r="R235" s="151">
        <f t="shared" si="7"/>
        <v>2230</v>
      </c>
      <c r="S235" s="160"/>
    </row>
    <row r="236" spans="1:19" s="103" customFormat="1" ht="24">
      <c r="A236" s="118" t="s">
        <v>455</v>
      </c>
      <c r="B236" s="119" t="s">
        <v>5</v>
      </c>
      <c r="C236" s="105" t="s">
        <v>456</v>
      </c>
      <c r="D236" s="106" t="s">
        <v>5</v>
      </c>
      <c r="E236" s="107" t="s">
        <v>347</v>
      </c>
      <c r="F236" s="108"/>
      <c r="G236" s="145"/>
      <c r="H236" s="145">
        <v>490</v>
      </c>
      <c r="I236" s="145"/>
      <c r="J236" s="145"/>
      <c r="K236" s="145"/>
      <c r="L236" s="145">
        <f>680+1180</f>
        <v>1860</v>
      </c>
      <c r="M236" s="145"/>
      <c r="N236" s="145"/>
      <c r="O236" s="145">
        <v>2250</v>
      </c>
      <c r="P236" s="145">
        <v>1400</v>
      </c>
      <c r="Q236" s="138">
        <f t="shared" si="6"/>
        <v>6000</v>
      </c>
      <c r="R236" s="114">
        <f t="shared" si="7"/>
        <v>0</v>
      </c>
      <c r="S236" s="161" t="s">
        <v>896</v>
      </c>
    </row>
    <row r="237" spans="1:19" s="103" customFormat="1" ht="24">
      <c r="A237" s="118" t="s">
        <v>457</v>
      </c>
      <c r="B237" s="119" t="s">
        <v>5</v>
      </c>
      <c r="C237" s="105" t="s">
        <v>458</v>
      </c>
      <c r="D237" s="106" t="s">
        <v>5</v>
      </c>
      <c r="E237" s="107" t="s">
        <v>347</v>
      </c>
      <c r="F237" s="108"/>
      <c r="G237" s="145"/>
      <c r="H237" s="145"/>
      <c r="I237" s="145"/>
      <c r="J237" s="145"/>
      <c r="K237" s="145"/>
      <c r="L237" s="145">
        <v>1660</v>
      </c>
      <c r="M237" s="145">
        <v>1320</v>
      </c>
      <c r="N237" s="145"/>
      <c r="O237" s="145"/>
      <c r="P237" s="145">
        <v>3020</v>
      </c>
      <c r="Q237" s="138">
        <f t="shared" si="6"/>
        <v>6000</v>
      </c>
      <c r="R237" s="114">
        <f t="shared" si="7"/>
        <v>0</v>
      </c>
      <c r="S237" s="161"/>
    </row>
    <row r="238" spans="1:19" s="191" customFormat="1" ht="24">
      <c r="A238" s="118" t="s">
        <v>459</v>
      </c>
      <c r="B238" s="119" t="s">
        <v>5</v>
      </c>
      <c r="C238" s="105" t="s">
        <v>460</v>
      </c>
      <c r="D238" s="106" t="s">
        <v>5</v>
      </c>
      <c r="E238" s="107" t="s">
        <v>347</v>
      </c>
      <c r="F238" s="108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>
        <f>1800+850+2233+406+711</f>
        <v>6000</v>
      </c>
      <c r="Q238" s="138">
        <f t="shared" si="6"/>
        <v>6000</v>
      </c>
      <c r="R238" s="114">
        <f t="shared" si="7"/>
        <v>0</v>
      </c>
      <c r="S238" s="161"/>
    </row>
    <row r="239" spans="1:19" s="43" customFormat="1" ht="24">
      <c r="A239" s="2" t="s">
        <v>461</v>
      </c>
      <c r="B239" s="7" t="s">
        <v>5</v>
      </c>
      <c r="C239" s="8" t="s">
        <v>462</v>
      </c>
      <c r="D239" s="9" t="s">
        <v>5</v>
      </c>
      <c r="E239" s="10" t="s">
        <v>347</v>
      </c>
      <c r="F239" s="58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79">
        <f t="shared" si="6"/>
        <v>0</v>
      </c>
      <c r="R239" s="151">
        <f t="shared" si="7"/>
        <v>6000</v>
      </c>
      <c r="S239" s="160"/>
    </row>
    <row r="240" spans="1:19" s="43" customFormat="1" ht="24">
      <c r="A240" s="2" t="s">
        <v>463</v>
      </c>
      <c r="B240" s="7" t="s">
        <v>5</v>
      </c>
      <c r="C240" s="8" t="s">
        <v>464</v>
      </c>
      <c r="D240" s="9" t="s">
        <v>5</v>
      </c>
      <c r="E240" s="10" t="s">
        <v>347</v>
      </c>
      <c r="F240" s="58"/>
      <c r="G240" s="136"/>
      <c r="H240" s="136"/>
      <c r="I240" s="136"/>
      <c r="J240" s="136"/>
      <c r="K240" s="136"/>
      <c r="L240" s="136"/>
      <c r="M240" s="136">
        <v>1190</v>
      </c>
      <c r="N240" s="136"/>
      <c r="O240" s="136"/>
      <c r="P240" s="136">
        <f>800+1230+268</f>
        <v>2298</v>
      </c>
      <c r="Q240" s="79">
        <f t="shared" si="6"/>
        <v>3488</v>
      </c>
      <c r="R240" s="151">
        <f t="shared" si="7"/>
        <v>2512</v>
      </c>
      <c r="S240" s="160"/>
    </row>
    <row r="241" spans="1:19" s="43" customFormat="1" ht="24">
      <c r="A241" s="2" t="s">
        <v>465</v>
      </c>
      <c r="B241" s="7" t="s">
        <v>5</v>
      </c>
      <c r="C241" s="8" t="s">
        <v>466</v>
      </c>
      <c r="D241" s="9" t="s">
        <v>5</v>
      </c>
      <c r="E241" s="10" t="s">
        <v>347</v>
      </c>
      <c r="F241" s="58"/>
      <c r="G241" s="136">
        <v>740</v>
      </c>
      <c r="H241" s="136"/>
      <c r="I241" s="136"/>
      <c r="J241" s="136"/>
      <c r="K241" s="136"/>
      <c r="L241" s="136"/>
      <c r="M241" s="136"/>
      <c r="N241" s="136"/>
      <c r="O241" s="136"/>
      <c r="P241" s="136">
        <v>1800</v>
      </c>
      <c r="Q241" s="79">
        <f t="shared" si="6"/>
        <v>2540</v>
      </c>
      <c r="R241" s="151">
        <f t="shared" si="7"/>
        <v>3460</v>
      </c>
      <c r="S241" s="160"/>
    </row>
    <row r="242" spans="1:19" s="43" customFormat="1" ht="24">
      <c r="A242" s="2" t="s">
        <v>467</v>
      </c>
      <c r="B242" s="7" t="s">
        <v>5</v>
      </c>
      <c r="C242" s="8" t="s">
        <v>468</v>
      </c>
      <c r="D242" s="9" t="s">
        <v>5</v>
      </c>
      <c r="E242" s="10" t="s">
        <v>347</v>
      </c>
      <c r="F242" s="58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79">
        <f t="shared" si="6"/>
        <v>0</v>
      </c>
      <c r="R242" s="151">
        <f t="shared" si="7"/>
        <v>6000</v>
      </c>
      <c r="S242" s="160"/>
    </row>
    <row r="243" spans="1:19" s="191" customFormat="1" ht="24">
      <c r="A243" s="118" t="s">
        <v>469</v>
      </c>
      <c r="B243" s="197" t="s">
        <v>5</v>
      </c>
      <c r="C243" s="198" t="s">
        <v>470</v>
      </c>
      <c r="D243" s="199" t="s">
        <v>5</v>
      </c>
      <c r="E243" s="200" t="s">
        <v>347</v>
      </c>
      <c r="F243" s="201"/>
      <c r="G243" s="202"/>
      <c r="H243" s="202"/>
      <c r="I243" s="202"/>
      <c r="J243" s="202">
        <v>1690</v>
      </c>
      <c r="K243" s="202">
        <v>2403</v>
      </c>
      <c r="L243" s="202">
        <v>1907</v>
      </c>
      <c r="M243" s="202"/>
      <c r="N243" s="202"/>
      <c r="O243" s="202"/>
      <c r="P243" s="202"/>
      <c r="Q243" s="203">
        <f t="shared" si="6"/>
        <v>6000</v>
      </c>
      <c r="R243" s="114">
        <f t="shared" si="7"/>
        <v>0</v>
      </c>
      <c r="S243" s="161"/>
    </row>
    <row r="244" spans="1:19" s="191" customFormat="1" ht="24">
      <c r="A244" s="118"/>
      <c r="B244" s="226" t="s">
        <v>385</v>
      </c>
      <c r="C244" s="227" t="s">
        <v>877</v>
      </c>
      <c r="D244" s="228" t="s">
        <v>5</v>
      </c>
      <c r="E244" s="229" t="s">
        <v>347</v>
      </c>
      <c r="F244" s="230"/>
      <c r="G244" s="231"/>
      <c r="H244" s="231"/>
      <c r="I244" s="231">
        <v>535</v>
      </c>
      <c r="J244" s="231">
        <v>500</v>
      </c>
      <c r="K244" s="231">
        <f>800+610</f>
        <v>1410</v>
      </c>
      <c r="L244" s="231">
        <v>1423.5</v>
      </c>
      <c r="M244" s="231">
        <v>830</v>
      </c>
      <c r="N244" s="231"/>
      <c r="O244" s="231">
        <v>1301.5</v>
      </c>
      <c r="P244" s="231"/>
      <c r="Q244" s="203">
        <f t="shared" si="6"/>
        <v>6000</v>
      </c>
      <c r="R244" s="114">
        <f t="shared" si="7"/>
        <v>0</v>
      </c>
      <c r="S244" s="161"/>
    </row>
    <row r="245" spans="1:19" s="43" customFormat="1" ht="24">
      <c r="A245" s="2"/>
      <c r="B245" s="184" t="s">
        <v>5</v>
      </c>
      <c r="C245" s="185" t="s">
        <v>880</v>
      </c>
      <c r="D245" s="186" t="s">
        <v>5</v>
      </c>
      <c r="E245" s="181" t="s">
        <v>347</v>
      </c>
      <c r="F245" s="187"/>
      <c r="G245" s="188"/>
      <c r="H245" s="188"/>
      <c r="I245" s="188"/>
      <c r="J245" s="188">
        <v>626</v>
      </c>
      <c r="K245" s="188"/>
      <c r="L245" s="188"/>
      <c r="M245" s="188"/>
      <c r="N245" s="188"/>
      <c r="O245" s="188"/>
      <c r="P245" s="188">
        <f>300+100+1800+440+1880</f>
        <v>4520</v>
      </c>
      <c r="Q245" s="163">
        <f t="shared" si="6"/>
        <v>5146</v>
      </c>
      <c r="R245" s="151">
        <f t="shared" si="7"/>
        <v>854</v>
      </c>
      <c r="S245" s="160"/>
    </row>
    <row r="246" spans="1:19" s="43" customFormat="1" ht="24">
      <c r="A246" s="2"/>
      <c r="B246" s="184" t="s">
        <v>5</v>
      </c>
      <c r="C246" s="185" t="s">
        <v>897</v>
      </c>
      <c r="D246" s="186" t="s">
        <v>5</v>
      </c>
      <c r="E246" s="181" t="s">
        <v>347</v>
      </c>
      <c r="F246" s="187"/>
      <c r="G246" s="188"/>
      <c r="H246" s="188"/>
      <c r="I246" s="188"/>
      <c r="J246" s="188"/>
      <c r="K246" s="188"/>
      <c r="L246" s="188"/>
      <c r="M246" s="188"/>
      <c r="N246" s="188"/>
      <c r="O246" s="188">
        <v>550</v>
      </c>
      <c r="P246" s="188">
        <f>2200+600+1250</f>
        <v>4050</v>
      </c>
      <c r="Q246" s="163">
        <f t="shared" si="6"/>
        <v>4600</v>
      </c>
      <c r="R246" s="151">
        <f t="shared" si="7"/>
        <v>1400</v>
      </c>
      <c r="S246" s="160"/>
    </row>
    <row r="247" spans="1:19" s="191" customFormat="1" ht="24">
      <c r="A247" s="118"/>
      <c r="B247" s="245" t="s">
        <v>5</v>
      </c>
      <c r="C247" s="246" t="s">
        <v>899</v>
      </c>
      <c r="D247" s="247" t="s">
        <v>5</v>
      </c>
      <c r="E247" s="248" t="s">
        <v>347</v>
      </c>
      <c r="F247" s="249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>
        <v>6000</v>
      </c>
      <c r="Q247" s="203">
        <f t="shared" si="6"/>
        <v>6000</v>
      </c>
      <c r="R247" s="114">
        <f t="shared" si="7"/>
        <v>0</v>
      </c>
      <c r="S247" s="161"/>
    </row>
    <row r="248" spans="1:19" s="191" customFormat="1" ht="24">
      <c r="A248" s="118"/>
      <c r="B248" s="245" t="s">
        <v>5</v>
      </c>
      <c r="C248" s="246" t="s">
        <v>900</v>
      </c>
      <c r="D248" s="247" t="s">
        <v>5</v>
      </c>
      <c r="E248" s="248" t="s">
        <v>347</v>
      </c>
      <c r="F248" s="249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>
        <v>6000</v>
      </c>
      <c r="Q248" s="203">
        <f t="shared" si="6"/>
        <v>6000</v>
      </c>
      <c r="R248" s="114">
        <f t="shared" si="7"/>
        <v>0</v>
      </c>
      <c r="S248" s="161"/>
    </row>
    <row r="249" spans="1:29" s="176" customFormat="1" ht="24">
      <c r="A249" s="118" t="s">
        <v>699</v>
      </c>
      <c r="B249" s="168" t="s">
        <v>471</v>
      </c>
      <c r="C249" s="169" t="s">
        <v>472</v>
      </c>
      <c r="D249" s="170" t="s">
        <v>473</v>
      </c>
      <c r="E249" s="171" t="s">
        <v>474</v>
      </c>
      <c r="F249" s="172"/>
      <c r="G249" s="173">
        <v>1490</v>
      </c>
      <c r="H249" s="173">
        <v>600</v>
      </c>
      <c r="I249" s="173">
        <f>620+600</f>
        <v>1220</v>
      </c>
      <c r="J249" s="173">
        <f>1800+890</f>
        <v>2690</v>
      </c>
      <c r="K249" s="173"/>
      <c r="L249" s="173"/>
      <c r="M249" s="173"/>
      <c r="N249" s="173"/>
      <c r="O249" s="173"/>
      <c r="P249" s="173"/>
      <c r="Q249" s="189">
        <f t="shared" si="6"/>
        <v>6000</v>
      </c>
      <c r="R249" s="114">
        <f>6000-Q249</f>
        <v>0</v>
      </c>
      <c r="S249" s="161"/>
      <c r="T249" s="166"/>
      <c r="U249" s="167"/>
      <c r="V249" s="167"/>
      <c r="W249" s="167"/>
      <c r="X249" s="167"/>
      <c r="Y249" s="167"/>
      <c r="Z249" s="167"/>
      <c r="AA249" s="167"/>
      <c r="AB249" s="167"/>
      <c r="AC249" s="175"/>
    </row>
    <row r="250" spans="1:29" s="254" customFormat="1" ht="24">
      <c r="A250" s="118" t="s">
        <v>700</v>
      </c>
      <c r="B250" s="96" t="s">
        <v>471</v>
      </c>
      <c r="C250" s="97" t="s">
        <v>475</v>
      </c>
      <c r="D250" s="98" t="s">
        <v>473</v>
      </c>
      <c r="E250" s="99" t="s">
        <v>474</v>
      </c>
      <c r="F250" s="100"/>
      <c r="G250" s="146">
        <v>400</v>
      </c>
      <c r="H250" s="146">
        <v>340</v>
      </c>
      <c r="I250" s="146"/>
      <c r="J250" s="146"/>
      <c r="K250" s="146">
        <v>950</v>
      </c>
      <c r="L250" s="146">
        <v>1605</v>
      </c>
      <c r="M250" s="146"/>
      <c r="N250" s="146">
        <v>1700</v>
      </c>
      <c r="O250" s="146"/>
      <c r="P250" s="146">
        <v>1005</v>
      </c>
      <c r="Q250" s="138">
        <f t="shared" si="6"/>
        <v>6000</v>
      </c>
      <c r="R250" s="114">
        <f aca="true" t="shared" si="8" ref="R250:R317">6000-Q250</f>
        <v>0</v>
      </c>
      <c r="S250" s="161"/>
      <c r="T250" s="101"/>
      <c r="U250" s="102"/>
      <c r="V250" s="102"/>
      <c r="W250" s="102"/>
      <c r="X250" s="102"/>
      <c r="Y250" s="102"/>
      <c r="Z250" s="102"/>
      <c r="AA250" s="102"/>
      <c r="AB250" s="102"/>
      <c r="AC250" s="253"/>
    </row>
    <row r="251" spans="1:20" s="167" customFormat="1" ht="24">
      <c r="A251" s="118" t="s">
        <v>701</v>
      </c>
      <c r="B251" s="104" t="s">
        <v>476</v>
      </c>
      <c r="C251" s="105" t="s">
        <v>477</v>
      </c>
      <c r="D251" s="106" t="s">
        <v>473</v>
      </c>
      <c r="E251" s="99" t="s">
        <v>474</v>
      </c>
      <c r="F251" s="100"/>
      <c r="G251" s="146">
        <f>2602+2380</f>
        <v>4982</v>
      </c>
      <c r="H251" s="146">
        <v>1018</v>
      </c>
      <c r="I251" s="146"/>
      <c r="J251" s="146"/>
      <c r="K251" s="146"/>
      <c r="L251" s="146"/>
      <c r="M251" s="146"/>
      <c r="N251" s="146"/>
      <c r="O251" s="146"/>
      <c r="P251" s="146"/>
      <c r="Q251" s="138">
        <f t="shared" si="6"/>
        <v>6000</v>
      </c>
      <c r="R251" s="114">
        <f t="shared" si="8"/>
        <v>0</v>
      </c>
      <c r="S251" s="161"/>
      <c r="T251" s="166"/>
    </row>
    <row r="252" spans="1:20" s="102" customFormat="1" ht="24">
      <c r="A252" s="118" t="s">
        <v>702</v>
      </c>
      <c r="B252" s="96" t="s">
        <v>476</v>
      </c>
      <c r="C252" s="97" t="s">
        <v>478</v>
      </c>
      <c r="D252" s="98" t="s">
        <v>473</v>
      </c>
      <c r="E252" s="99" t="s">
        <v>474</v>
      </c>
      <c r="F252" s="100">
        <v>1424</v>
      </c>
      <c r="G252" s="146">
        <v>550</v>
      </c>
      <c r="H252" s="146">
        <f>340+270+842+495</f>
        <v>1947</v>
      </c>
      <c r="I252" s="146">
        <f>1147+440</f>
        <v>1587</v>
      </c>
      <c r="J252" s="146"/>
      <c r="K252" s="146">
        <v>492</v>
      </c>
      <c r="L252" s="146"/>
      <c r="M252" s="146"/>
      <c r="N252" s="146"/>
      <c r="O252" s="146"/>
      <c r="P252" s="146"/>
      <c r="Q252" s="138">
        <f t="shared" si="6"/>
        <v>6000</v>
      </c>
      <c r="R252" s="114">
        <f t="shared" si="8"/>
        <v>0</v>
      </c>
      <c r="S252" s="161"/>
      <c r="T252" s="101"/>
    </row>
    <row r="253" spans="1:20" s="36" customFormat="1" ht="24">
      <c r="A253" s="2" t="s">
        <v>703</v>
      </c>
      <c r="B253" s="30" t="s">
        <v>476</v>
      </c>
      <c r="C253" s="4" t="s">
        <v>479</v>
      </c>
      <c r="D253" s="5" t="s">
        <v>473</v>
      </c>
      <c r="E253" s="11" t="s">
        <v>474</v>
      </c>
      <c r="F253" s="56"/>
      <c r="G253" s="133"/>
      <c r="H253" s="133"/>
      <c r="I253" s="133"/>
      <c r="J253" s="133"/>
      <c r="K253" s="133">
        <v>1053</v>
      </c>
      <c r="L253" s="133"/>
      <c r="M253" s="133">
        <v>1070</v>
      </c>
      <c r="N253" s="133"/>
      <c r="O253" s="133"/>
      <c r="P253" s="133">
        <f>300+2000+1125</f>
        <v>3425</v>
      </c>
      <c r="Q253" s="79">
        <f t="shared" si="6"/>
        <v>5548</v>
      </c>
      <c r="R253" s="151">
        <f t="shared" si="8"/>
        <v>452</v>
      </c>
      <c r="S253" s="160"/>
      <c r="T253" s="35"/>
    </row>
    <row r="254" spans="1:20" s="102" customFormat="1" ht="24">
      <c r="A254" s="118" t="s">
        <v>704</v>
      </c>
      <c r="B254" s="104" t="s">
        <v>476</v>
      </c>
      <c r="C254" s="105" t="s">
        <v>480</v>
      </c>
      <c r="D254" s="98" t="s">
        <v>473</v>
      </c>
      <c r="E254" s="99" t="s">
        <v>474</v>
      </c>
      <c r="F254" s="100">
        <v>1000</v>
      </c>
      <c r="G254" s="146"/>
      <c r="H254" s="146">
        <v>1000</v>
      </c>
      <c r="I254" s="146">
        <v>1000</v>
      </c>
      <c r="J254" s="146">
        <v>1000</v>
      </c>
      <c r="K254" s="146">
        <v>1000</v>
      </c>
      <c r="L254" s="146"/>
      <c r="M254" s="146">
        <v>1000</v>
      </c>
      <c r="N254" s="146"/>
      <c r="O254" s="146"/>
      <c r="P254" s="146"/>
      <c r="Q254" s="138">
        <f t="shared" si="6"/>
        <v>6000</v>
      </c>
      <c r="R254" s="114">
        <f t="shared" si="8"/>
        <v>0</v>
      </c>
      <c r="S254" s="161"/>
      <c r="T254" s="101"/>
    </row>
    <row r="255" spans="1:20" s="36" customFormat="1" ht="24">
      <c r="A255" s="2" t="s">
        <v>705</v>
      </c>
      <c r="B255" s="75" t="s">
        <v>481</v>
      </c>
      <c r="C255" s="8" t="s">
        <v>482</v>
      </c>
      <c r="D255" s="5" t="s">
        <v>483</v>
      </c>
      <c r="E255" s="11" t="s">
        <v>474</v>
      </c>
      <c r="F255" s="56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79">
        <f t="shared" si="6"/>
        <v>0</v>
      </c>
      <c r="R255" s="151">
        <f t="shared" si="8"/>
        <v>6000</v>
      </c>
      <c r="S255" s="160"/>
      <c r="T255" s="35"/>
    </row>
    <row r="256" spans="1:28" s="57" customFormat="1" ht="24">
      <c r="A256" s="2" t="s">
        <v>706</v>
      </c>
      <c r="B256" s="30" t="s">
        <v>471</v>
      </c>
      <c r="C256" s="4" t="s">
        <v>484</v>
      </c>
      <c r="D256" s="5" t="s">
        <v>485</v>
      </c>
      <c r="E256" s="11" t="s">
        <v>474</v>
      </c>
      <c r="F256" s="56"/>
      <c r="G256" s="133">
        <v>660</v>
      </c>
      <c r="H256" s="133">
        <v>760</v>
      </c>
      <c r="I256" s="133">
        <f>770+300</f>
        <v>1070</v>
      </c>
      <c r="J256" s="133">
        <f>900+1661</f>
        <v>2561</v>
      </c>
      <c r="K256" s="133"/>
      <c r="L256" s="133">
        <f>280+450</f>
        <v>730</v>
      </c>
      <c r="M256" s="133"/>
      <c r="N256" s="133"/>
      <c r="O256" s="133"/>
      <c r="P256" s="133"/>
      <c r="Q256" s="79">
        <f t="shared" si="6"/>
        <v>5781</v>
      </c>
      <c r="R256" s="151">
        <f t="shared" si="8"/>
        <v>219</v>
      </c>
      <c r="S256" s="160"/>
      <c r="T256" s="52"/>
      <c r="U256" s="53"/>
      <c r="V256" s="53"/>
      <c r="W256" s="53"/>
      <c r="X256" s="53"/>
      <c r="Y256" s="53"/>
      <c r="Z256" s="53"/>
      <c r="AA256" s="53"/>
      <c r="AB256" s="53"/>
    </row>
    <row r="257" spans="1:20" s="36" customFormat="1" ht="24">
      <c r="A257" s="2" t="s">
        <v>707</v>
      </c>
      <c r="B257" s="30" t="s">
        <v>476</v>
      </c>
      <c r="C257" s="4" t="s">
        <v>486</v>
      </c>
      <c r="D257" s="5" t="s">
        <v>485</v>
      </c>
      <c r="E257" s="11" t="s">
        <v>474</v>
      </c>
      <c r="F257" s="56"/>
      <c r="G257" s="133"/>
      <c r="H257" s="133"/>
      <c r="I257" s="133"/>
      <c r="J257" s="133"/>
      <c r="K257" s="133"/>
      <c r="L257" s="133">
        <v>600</v>
      </c>
      <c r="M257" s="133"/>
      <c r="N257" s="133"/>
      <c r="O257" s="133">
        <v>4890</v>
      </c>
      <c r="P257" s="133"/>
      <c r="Q257" s="79">
        <f t="shared" si="6"/>
        <v>5490</v>
      </c>
      <c r="R257" s="151">
        <f t="shared" si="8"/>
        <v>510</v>
      </c>
      <c r="S257" s="160"/>
      <c r="T257" s="35"/>
    </row>
    <row r="258" spans="1:20" s="167" customFormat="1" ht="24">
      <c r="A258" s="118" t="s">
        <v>708</v>
      </c>
      <c r="B258" s="104" t="s">
        <v>476</v>
      </c>
      <c r="C258" s="105" t="s">
        <v>487</v>
      </c>
      <c r="D258" s="106" t="s">
        <v>485</v>
      </c>
      <c r="E258" s="107" t="s">
        <v>474</v>
      </c>
      <c r="F258" s="108">
        <v>977</v>
      </c>
      <c r="G258" s="145">
        <v>1840</v>
      </c>
      <c r="H258" s="145">
        <v>2980</v>
      </c>
      <c r="I258" s="145">
        <v>203</v>
      </c>
      <c r="J258" s="145"/>
      <c r="K258" s="145"/>
      <c r="L258" s="145"/>
      <c r="M258" s="145"/>
      <c r="N258" s="145"/>
      <c r="O258" s="145"/>
      <c r="P258" s="145"/>
      <c r="Q258" s="138">
        <f t="shared" si="6"/>
        <v>6000</v>
      </c>
      <c r="R258" s="114">
        <f t="shared" si="8"/>
        <v>0</v>
      </c>
      <c r="S258" s="161"/>
      <c r="T258" s="166"/>
    </row>
    <row r="259" spans="1:28" s="37" customFormat="1" ht="24">
      <c r="A259" s="2" t="s">
        <v>709</v>
      </c>
      <c r="B259" s="75" t="s">
        <v>476</v>
      </c>
      <c r="C259" s="8" t="s">
        <v>488</v>
      </c>
      <c r="D259" s="9" t="s">
        <v>489</v>
      </c>
      <c r="E259" s="10" t="s">
        <v>474</v>
      </c>
      <c r="F259" s="58"/>
      <c r="G259" s="136"/>
      <c r="H259" s="136"/>
      <c r="I259" s="136"/>
      <c r="J259" s="136"/>
      <c r="K259" s="136">
        <v>940</v>
      </c>
      <c r="L259" s="136"/>
      <c r="M259" s="136"/>
      <c r="N259" s="136">
        <f>1688+2320</f>
        <v>4008</v>
      </c>
      <c r="O259" s="136"/>
      <c r="P259" s="136"/>
      <c r="Q259" s="79">
        <f t="shared" si="6"/>
        <v>4948</v>
      </c>
      <c r="R259" s="151">
        <f t="shared" si="8"/>
        <v>1052</v>
      </c>
      <c r="S259" s="160"/>
      <c r="T259" s="35"/>
      <c r="U259" s="36"/>
      <c r="V259" s="36"/>
      <c r="W259" s="36"/>
      <c r="X259" s="36"/>
      <c r="Y259" s="36"/>
      <c r="Z259" s="36"/>
      <c r="AA259" s="36"/>
      <c r="AB259" s="36"/>
    </row>
    <row r="260" spans="1:28" s="37" customFormat="1" ht="24">
      <c r="A260" s="2"/>
      <c r="B260" s="75" t="s">
        <v>471</v>
      </c>
      <c r="C260" s="8" t="s">
        <v>874</v>
      </c>
      <c r="D260" s="94" t="s">
        <v>473</v>
      </c>
      <c r="E260" s="10" t="s">
        <v>474</v>
      </c>
      <c r="F260" s="58"/>
      <c r="G260" s="136">
        <v>200</v>
      </c>
      <c r="H260" s="136">
        <v>700</v>
      </c>
      <c r="I260" s="136"/>
      <c r="J260" s="136"/>
      <c r="K260" s="136"/>
      <c r="L260" s="136">
        <v>1686</v>
      </c>
      <c r="M260" s="136"/>
      <c r="N260" s="136"/>
      <c r="O260" s="136"/>
      <c r="P260" s="136">
        <f>300+800</f>
        <v>1100</v>
      </c>
      <c r="Q260" s="79">
        <f t="shared" si="6"/>
        <v>3686</v>
      </c>
      <c r="R260" s="151">
        <f t="shared" si="8"/>
        <v>2314</v>
      </c>
      <c r="S260" s="160" t="s">
        <v>889</v>
      </c>
      <c r="T260" s="35"/>
      <c r="U260" s="36"/>
      <c r="V260" s="36"/>
      <c r="W260" s="36"/>
      <c r="X260" s="36"/>
      <c r="Y260" s="36"/>
      <c r="Z260" s="36"/>
      <c r="AA260" s="36"/>
      <c r="AB260" s="36"/>
    </row>
    <row r="261" spans="1:29" s="55" customFormat="1" ht="24">
      <c r="A261" s="2" t="s">
        <v>710</v>
      </c>
      <c r="B261" s="30" t="s">
        <v>481</v>
      </c>
      <c r="C261" s="4" t="s">
        <v>490</v>
      </c>
      <c r="D261" s="5" t="s">
        <v>491</v>
      </c>
      <c r="E261" s="59" t="s">
        <v>492</v>
      </c>
      <c r="F261" s="60"/>
      <c r="G261" s="129"/>
      <c r="H261" s="129"/>
      <c r="I261" s="129"/>
      <c r="J261" s="129">
        <v>2000</v>
      </c>
      <c r="K261" s="129"/>
      <c r="L261" s="129">
        <v>280</v>
      </c>
      <c r="M261" s="129"/>
      <c r="N261" s="129"/>
      <c r="O261" s="129"/>
      <c r="P261" s="129"/>
      <c r="Q261" s="79">
        <f t="shared" si="6"/>
        <v>2280</v>
      </c>
      <c r="R261" s="151">
        <f t="shared" si="8"/>
        <v>3720</v>
      </c>
      <c r="S261" s="160"/>
      <c r="T261" s="52"/>
      <c r="U261" s="53"/>
      <c r="V261" s="53"/>
      <c r="W261" s="53"/>
      <c r="X261" s="53"/>
      <c r="Y261" s="53"/>
      <c r="Z261" s="53"/>
      <c r="AA261" s="53"/>
      <c r="AB261" s="53"/>
      <c r="AC261" s="54"/>
    </row>
    <row r="262" spans="1:29" s="176" customFormat="1" ht="24">
      <c r="A262" s="118"/>
      <c r="B262" s="96" t="s">
        <v>481</v>
      </c>
      <c r="C262" s="97" t="s">
        <v>891</v>
      </c>
      <c r="D262" s="98" t="s">
        <v>507</v>
      </c>
      <c r="E262" s="174" t="s">
        <v>492</v>
      </c>
      <c r="F262" s="113"/>
      <c r="G262" s="112"/>
      <c r="H262" s="112"/>
      <c r="I262" s="112"/>
      <c r="J262" s="112"/>
      <c r="K262" s="112"/>
      <c r="L262" s="112"/>
      <c r="M262" s="112">
        <v>6000</v>
      </c>
      <c r="N262" s="112"/>
      <c r="O262" s="112"/>
      <c r="P262" s="112"/>
      <c r="Q262" s="138">
        <f t="shared" si="6"/>
        <v>6000</v>
      </c>
      <c r="R262" s="114">
        <f t="shared" si="8"/>
        <v>0</v>
      </c>
      <c r="S262" s="161"/>
      <c r="T262" s="166"/>
      <c r="U262" s="167"/>
      <c r="V262" s="167"/>
      <c r="W262" s="167"/>
      <c r="X262" s="167"/>
      <c r="Y262" s="167"/>
      <c r="Z262" s="167"/>
      <c r="AA262" s="167"/>
      <c r="AB262" s="167"/>
      <c r="AC262" s="175"/>
    </row>
    <row r="263" spans="1:29" s="176" customFormat="1" ht="24">
      <c r="A263" s="118" t="s">
        <v>711</v>
      </c>
      <c r="B263" s="104" t="s">
        <v>481</v>
      </c>
      <c r="C263" s="105" t="s">
        <v>493</v>
      </c>
      <c r="D263" s="106" t="s">
        <v>494</v>
      </c>
      <c r="E263" s="107" t="s">
        <v>492</v>
      </c>
      <c r="F263" s="108"/>
      <c r="G263" s="145"/>
      <c r="H263" s="145">
        <v>6000</v>
      </c>
      <c r="I263" s="145"/>
      <c r="J263" s="145"/>
      <c r="K263" s="145"/>
      <c r="L263" s="145"/>
      <c r="M263" s="145"/>
      <c r="N263" s="145"/>
      <c r="O263" s="145"/>
      <c r="P263" s="145"/>
      <c r="Q263" s="138">
        <f t="shared" si="6"/>
        <v>6000</v>
      </c>
      <c r="R263" s="114">
        <f t="shared" si="8"/>
        <v>0</v>
      </c>
      <c r="S263" s="161"/>
      <c r="T263" s="166"/>
      <c r="U263" s="167"/>
      <c r="V263" s="167"/>
      <c r="W263" s="167"/>
      <c r="X263" s="167"/>
      <c r="Y263" s="167"/>
      <c r="Z263" s="167"/>
      <c r="AA263" s="167"/>
      <c r="AB263" s="167"/>
      <c r="AC263" s="175"/>
    </row>
    <row r="264" spans="1:28" s="103" customFormat="1" ht="24">
      <c r="A264" s="118" t="s">
        <v>712</v>
      </c>
      <c r="B264" s="96" t="s">
        <v>471</v>
      </c>
      <c r="C264" s="97" t="s">
        <v>495</v>
      </c>
      <c r="D264" s="98" t="s">
        <v>489</v>
      </c>
      <c r="E264" s="174" t="s">
        <v>496</v>
      </c>
      <c r="F264" s="113">
        <f>250+1638+220</f>
        <v>2108</v>
      </c>
      <c r="G264" s="112"/>
      <c r="H264" s="112">
        <f>250+650+1400</f>
        <v>2300</v>
      </c>
      <c r="I264" s="112"/>
      <c r="J264" s="112"/>
      <c r="K264" s="112"/>
      <c r="L264" s="112">
        <f>800+792</f>
        <v>1592</v>
      </c>
      <c r="M264" s="112"/>
      <c r="N264" s="112"/>
      <c r="O264" s="112"/>
      <c r="P264" s="112"/>
      <c r="Q264" s="138">
        <f t="shared" si="6"/>
        <v>6000</v>
      </c>
      <c r="R264" s="114">
        <f t="shared" si="8"/>
        <v>0</v>
      </c>
      <c r="S264" s="161"/>
      <c r="T264" s="101"/>
      <c r="U264" s="102"/>
      <c r="V264" s="102"/>
      <c r="W264" s="102"/>
      <c r="X264" s="102"/>
      <c r="Y264" s="102"/>
      <c r="Z264" s="102"/>
      <c r="AA264" s="102"/>
      <c r="AB264" s="102"/>
    </row>
    <row r="265" spans="1:28" s="57" customFormat="1" ht="24">
      <c r="A265" s="2" t="s">
        <v>713</v>
      </c>
      <c r="B265" s="30" t="s">
        <v>476</v>
      </c>
      <c r="C265" s="4" t="s">
        <v>497</v>
      </c>
      <c r="D265" s="5" t="s">
        <v>489</v>
      </c>
      <c r="E265" s="59" t="s">
        <v>496</v>
      </c>
      <c r="F265" s="60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79">
        <f t="shared" si="6"/>
        <v>0</v>
      </c>
      <c r="R265" s="151">
        <f t="shared" si="8"/>
        <v>6000</v>
      </c>
      <c r="S265" s="160"/>
      <c r="T265" s="52"/>
      <c r="U265" s="53"/>
      <c r="V265" s="53"/>
      <c r="W265" s="53"/>
      <c r="X265" s="53"/>
      <c r="Y265" s="53"/>
      <c r="Z265" s="53"/>
      <c r="AA265" s="53"/>
      <c r="AB265" s="53"/>
    </row>
    <row r="266" spans="1:28" s="218" customFormat="1" ht="24">
      <c r="A266" s="118"/>
      <c r="B266" s="238" t="s">
        <v>471</v>
      </c>
      <c r="C266" s="239" t="s">
        <v>696</v>
      </c>
      <c r="D266" s="240" t="s">
        <v>499</v>
      </c>
      <c r="E266" s="241" t="s">
        <v>492</v>
      </c>
      <c r="F266" s="242"/>
      <c r="G266" s="243"/>
      <c r="H266" s="243"/>
      <c r="I266" s="243"/>
      <c r="J266" s="243">
        <v>1369</v>
      </c>
      <c r="K266" s="243"/>
      <c r="L266" s="243"/>
      <c r="M266" s="243">
        <v>300</v>
      </c>
      <c r="N266" s="243">
        <f>1915+1305+990</f>
        <v>4210</v>
      </c>
      <c r="O266" s="243">
        <v>121</v>
      </c>
      <c r="P266" s="243"/>
      <c r="Q266" s="138">
        <f>SUM(F266:P266)</f>
        <v>6000</v>
      </c>
      <c r="R266" s="114">
        <f t="shared" si="8"/>
        <v>0</v>
      </c>
      <c r="S266" s="161"/>
      <c r="T266" s="166"/>
      <c r="U266" s="167"/>
      <c r="V266" s="167"/>
      <c r="W266" s="167"/>
      <c r="X266" s="167"/>
      <c r="Y266" s="167"/>
      <c r="Z266" s="167"/>
      <c r="AA266" s="167"/>
      <c r="AB266" s="167"/>
    </row>
    <row r="267" spans="1:28" s="103" customFormat="1" ht="24">
      <c r="A267" s="118" t="s">
        <v>714</v>
      </c>
      <c r="B267" s="104" t="s">
        <v>481</v>
      </c>
      <c r="C267" s="105" t="s">
        <v>498</v>
      </c>
      <c r="D267" s="106" t="s">
        <v>499</v>
      </c>
      <c r="E267" s="107" t="s">
        <v>496</v>
      </c>
      <c r="F267" s="108"/>
      <c r="G267" s="145"/>
      <c r="H267" s="145"/>
      <c r="I267" s="145"/>
      <c r="J267" s="145">
        <v>6000</v>
      </c>
      <c r="K267" s="145"/>
      <c r="L267" s="145"/>
      <c r="M267" s="145"/>
      <c r="N267" s="145"/>
      <c r="O267" s="145"/>
      <c r="P267" s="145"/>
      <c r="Q267" s="138">
        <f t="shared" si="6"/>
        <v>6000</v>
      </c>
      <c r="R267" s="114">
        <f t="shared" si="8"/>
        <v>0</v>
      </c>
      <c r="S267" s="161"/>
      <c r="T267" s="101"/>
      <c r="U267" s="102"/>
      <c r="V267" s="102"/>
      <c r="W267" s="102"/>
      <c r="X267" s="102"/>
      <c r="Y267" s="102"/>
      <c r="Z267" s="102"/>
      <c r="AA267" s="102"/>
      <c r="AB267" s="102"/>
    </row>
    <row r="268" spans="1:28" s="37" customFormat="1" ht="24">
      <c r="A268" s="2" t="s">
        <v>715</v>
      </c>
      <c r="B268" s="75" t="s">
        <v>476</v>
      </c>
      <c r="C268" s="8" t="s">
        <v>500</v>
      </c>
      <c r="D268" s="9" t="s">
        <v>499</v>
      </c>
      <c r="E268" s="10" t="s">
        <v>496</v>
      </c>
      <c r="F268" s="58"/>
      <c r="G268" s="136"/>
      <c r="H268" s="136"/>
      <c r="I268" s="136"/>
      <c r="J268" s="136">
        <v>320</v>
      </c>
      <c r="K268" s="136"/>
      <c r="L268" s="136"/>
      <c r="M268" s="136"/>
      <c r="N268" s="136">
        <f>280+340</f>
        <v>620</v>
      </c>
      <c r="O268" s="136">
        <v>1270</v>
      </c>
      <c r="P268" s="136"/>
      <c r="Q268" s="79">
        <f t="shared" si="6"/>
        <v>2210</v>
      </c>
      <c r="R268" s="151">
        <f t="shared" si="8"/>
        <v>3790</v>
      </c>
      <c r="S268" s="160"/>
      <c r="T268" s="35"/>
      <c r="U268" s="36"/>
      <c r="V268" s="36"/>
      <c r="W268" s="36"/>
      <c r="X268" s="36"/>
      <c r="Y268" s="36"/>
      <c r="Z268" s="36"/>
      <c r="AA268" s="36"/>
      <c r="AB268" s="36"/>
    </row>
    <row r="269" spans="1:28" s="37" customFormat="1" ht="24">
      <c r="A269" s="2" t="s">
        <v>716</v>
      </c>
      <c r="B269" s="75" t="s">
        <v>481</v>
      </c>
      <c r="C269" s="8" t="s">
        <v>501</v>
      </c>
      <c r="D269" s="9" t="s">
        <v>499</v>
      </c>
      <c r="E269" s="10" t="s">
        <v>496</v>
      </c>
      <c r="F269" s="58"/>
      <c r="G269" s="136"/>
      <c r="H269" s="136"/>
      <c r="I269" s="136"/>
      <c r="J269" s="136"/>
      <c r="K269" s="136"/>
      <c r="L269" s="136">
        <v>500</v>
      </c>
      <c r="M269" s="136">
        <v>300</v>
      </c>
      <c r="N269" s="136"/>
      <c r="O269" s="136"/>
      <c r="P269" s="136"/>
      <c r="Q269" s="79">
        <f t="shared" si="6"/>
        <v>800</v>
      </c>
      <c r="R269" s="151">
        <f t="shared" si="8"/>
        <v>5200</v>
      </c>
      <c r="S269" s="160"/>
      <c r="T269" s="35"/>
      <c r="U269" s="36"/>
      <c r="V269" s="36"/>
      <c r="W269" s="36"/>
      <c r="X269" s="36"/>
      <c r="Y269" s="36"/>
      <c r="Z269" s="36"/>
      <c r="AA269" s="36"/>
      <c r="AB269" s="36"/>
    </row>
    <row r="270" spans="1:28" s="37" customFormat="1" ht="24">
      <c r="A270" s="2" t="s">
        <v>717</v>
      </c>
      <c r="B270" s="30" t="s">
        <v>476</v>
      </c>
      <c r="C270" s="4" t="s">
        <v>502</v>
      </c>
      <c r="D270" s="5" t="s">
        <v>489</v>
      </c>
      <c r="E270" s="59" t="s">
        <v>496</v>
      </c>
      <c r="F270" s="60"/>
      <c r="G270" s="129">
        <v>1700</v>
      </c>
      <c r="H270" s="129"/>
      <c r="I270" s="129"/>
      <c r="J270" s="129"/>
      <c r="K270" s="129"/>
      <c r="L270" s="129"/>
      <c r="M270" s="129"/>
      <c r="N270" s="129"/>
      <c r="O270" s="129"/>
      <c r="P270" s="129"/>
      <c r="Q270" s="79">
        <f t="shared" si="6"/>
        <v>1700</v>
      </c>
      <c r="R270" s="151">
        <f t="shared" si="8"/>
        <v>4300</v>
      </c>
      <c r="S270" s="160"/>
      <c r="T270" s="35"/>
      <c r="U270" s="36"/>
      <c r="V270" s="36"/>
      <c r="W270" s="36"/>
      <c r="X270" s="36"/>
      <c r="Y270" s="36"/>
      <c r="Z270" s="36"/>
      <c r="AA270" s="36"/>
      <c r="AB270" s="36"/>
    </row>
    <row r="271" spans="1:28" s="37" customFormat="1" ht="24">
      <c r="A271" s="2" t="s">
        <v>718</v>
      </c>
      <c r="B271" s="30" t="s">
        <v>471</v>
      </c>
      <c r="C271" s="4" t="s">
        <v>503</v>
      </c>
      <c r="D271" s="5" t="s">
        <v>489</v>
      </c>
      <c r="E271" s="11" t="s">
        <v>496</v>
      </c>
      <c r="F271" s="56">
        <f>1100+1100</f>
        <v>2200</v>
      </c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79">
        <f t="shared" si="6"/>
        <v>2200</v>
      </c>
      <c r="R271" s="151">
        <f t="shared" si="8"/>
        <v>3800</v>
      </c>
      <c r="S271" s="160"/>
      <c r="T271" s="35"/>
      <c r="U271" s="36"/>
      <c r="V271" s="36"/>
      <c r="W271" s="36"/>
      <c r="X271" s="36"/>
      <c r="Y271" s="36"/>
      <c r="Z271" s="36"/>
      <c r="AA271" s="36"/>
      <c r="AB271" s="36"/>
    </row>
    <row r="272" spans="1:28" s="37" customFormat="1" ht="24">
      <c r="A272" s="2" t="s">
        <v>719</v>
      </c>
      <c r="B272" s="30" t="s">
        <v>476</v>
      </c>
      <c r="C272" s="4" t="s">
        <v>504</v>
      </c>
      <c r="D272" s="5" t="s">
        <v>489</v>
      </c>
      <c r="E272" s="11" t="s">
        <v>505</v>
      </c>
      <c r="F272" s="56"/>
      <c r="G272" s="133"/>
      <c r="H272" s="133"/>
      <c r="I272" s="133"/>
      <c r="J272" s="133"/>
      <c r="K272" s="133"/>
      <c r="L272" s="133">
        <v>680</v>
      </c>
      <c r="M272" s="133"/>
      <c r="N272" s="133"/>
      <c r="O272" s="133"/>
      <c r="P272" s="133"/>
      <c r="Q272" s="79">
        <f t="shared" si="6"/>
        <v>680</v>
      </c>
      <c r="R272" s="151">
        <f t="shared" si="8"/>
        <v>5320</v>
      </c>
      <c r="S272" s="160"/>
      <c r="T272" s="35"/>
      <c r="U272" s="36"/>
      <c r="V272" s="36"/>
      <c r="W272" s="36"/>
      <c r="X272" s="36"/>
      <c r="Y272" s="36"/>
      <c r="Z272" s="36"/>
      <c r="AA272" s="36"/>
      <c r="AB272" s="36"/>
    </row>
    <row r="273" spans="1:28" s="37" customFormat="1" ht="24">
      <c r="A273" s="2" t="s">
        <v>720</v>
      </c>
      <c r="B273" s="30" t="s">
        <v>481</v>
      </c>
      <c r="C273" s="4" t="s">
        <v>506</v>
      </c>
      <c r="D273" s="5" t="s">
        <v>507</v>
      </c>
      <c r="E273" s="6" t="s">
        <v>496</v>
      </c>
      <c r="F273" s="60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79">
        <f t="shared" si="6"/>
        <v>0</v>
      </c>
      <c r="R273" s="151">
        <f t="shared" si="8"/>
        <v>6000</v>
      </c>
      <c r="S273" s="160" t="s">
        <v>875</v>
      </c>
      <c r="T273" s="35"/>
      <c r="U273" s="36"/>
      <c r="V273" s="36"/>
      <c r="W273" s="36"/>
      <c r="X273" s="36"/>
      <c r="Y273" s="36"/>
      <c r="Z273" s="36"/>
      <c r="AA273" s="36"/>
      <c r="AB273" s="36"/>
    </row>
    <row r="274" spans="1:28" s="103" customFormat="1" ht="24">
      <c r="A274" s="118" t="s">
        <v>721</v>
      </c>
      <c r="B274" s="96" t="s">
        <v>481</v>
      </c>
      <c r="C274" s="97" t="s">
        <v>508</v>
      </c>
      <c r="D274" s="98" t="s">
        <v>509</v>
      </c>
      <c r="E274" s="194" t="s">
        <v>496</v>
      </c>
      <c r="F274" s="113"/>
      <c r="G274" s="112"/>
      <c r="H274" s="112"/>
      <c r="I274" s="112"/>
      <c r="J274" s="112">
        <v>1080</v>
      </c>
      <c r="K274" s="112"/>
      <c r="L274" s="112">
        <v>1233</v>
      </c>
      <c r="M274" s="112">
        <v>3687</v>
      </c>
      <c r="N274" s="112"/>
      <c r="O274" s="112"/>
      <c r="P274" s="112"/>
      <c r="Q274" s="138">
        <f t="shared" si="6"/>
        <v>6000</v>
      </c>
      <c r="R274" s="114">
        <f t="shared" si="8"/>
        <v>0</v>
      </c>
      <c r="S274" s="161"/>
      <c r="T274" s="101"/>
      <c r="U274" s="102"/>
      <c r="V274" s="102"/>
      <c r="W274" s="102"/>
      <c r="X274" s="102"/>
      <c r="Y274" s="102"/>
      <c r="Z274" s="102"/>
      <c r="AA274" s="102"/>
      <c r="AB274" s="102"/>
    </row>
    <row r="275" spans="1:28" s="37" customFormat="1" ht="24">
      <c r="A275" s="2" t="s">
        <v>722</v>
      </c>
      <c r="B275" s="30" t="s">
        <v>471</v>
      </c>
      <c r="C275" s="4" t="s">
        <v>510</v>
      </c>
      <c r="D275" s="5" t="s">
        <v>489</v>
      </c>
      <c r="E275" s="11" t="s">
        <v>505</v>
      </c>
      <c r="F275" s="56"/>
      <c r="G275" s="133"/>
      <c r="H275" s="133"/>
      <c r="I275" s="133"/>
      <c r="J275" s="133"/>
      <c r="K275" s="133"/>
      <c r="L275" s="133"/>
      <c r="M275" s="133"/>
      <c r="N275" s="133"/>
      <c r="O275" s="133">
        <v>2248</v>
      </c>
      <c r="P275" s="133">
        <v>3594</v>
      </c>
      <c r="Q275" s="79">
        <f t="shared" si="6"/>
        <v>5842</v>
      </c>
      <c r="R275" s="151">
        <f t="shared" si="8"/>
        <v>158</v>
      </c>
      <c r="S275" s="160"/>
      <c r="T275" s="35"/>
      <c r="U275" s="36"/>
      <c r="V275" s="36"/>
      <c r="W275" s="36"/>
      <c r="X275" s="36"/>
      <c r="Y275" s="36"/>
      <c r="Z275" s="36"/>
      <c r="AA275" s="36"/>
      <c r="AB275" s="36"/>
    </row>
    <row r="276" spans="1:28" s="37" customFormat="1" ht="24">
      <c r="A276" s="2" t="s">
        <v>723</v>
      </c>
      <c r="B276" s="30" t="s">
        <v>476</v>
      </c>
      <c r="C276" s="4" t="s">
        <v>511</v>
      </c>
      <c r="D276" s="5" t="s">
        <v>489</v>
      </c>
      <c r="E276" s="11" t="s">
        <v>505</v>
      </c>
      <c r="F276" s="56"/>
      <c r="G276" s="133"/>
      <c r="H276" s="133">
        <v>3516</v>
      </c>
      <c r="I276" s="133"/>
      <c r="J276" s="133"/>
      <c r="K276" s="133"/>
      <c r="L276" s="133"/>
      <c r="M276" s="133"/>
      <c r="N276" s="133"/>
      <c r="O276" s="133"/>
      <c r="P276" s="133">
        <v>2400</v>
      </c>
      <c r="Q276" s="79">
        <f t="shared" si="6"/>
        <v>5916</v>
      </c>
      <c r="R276" s="151">
        <f t="shared" si="8"/>
        <v>84</v>
      </c>
      <c r="S276" s="160"/>
      <c r="T276" s="35"/>
      <c r="U276" s="36"/>
      <c r="V276" s="36"/>
      <c r="W276" s="36"/>
      <c r="X276" s="36"/>
      <c r="Y276" s="36"/>
      <c r="Z276" s="36"/>
      <c r="AA276" s="36"/>
      <c r="AB276" s="36"/>
    </row>
    <row r="277" spans="1:28" s="103" customFormat="1" ht="24">
      <c r="A277" s="118" t="s">
        <v>724</v>
      </c>
      <c r="B277" s="104" t="s">
        <v>476</v>
      </c>
      <c r="C277" s="105" t="s">
        <v>512</v>
      </c>
      <c r="D277" s="106" t="s">
        <v>489</v>
      </c>
      <c r="E277" s="99" t="s">
        <v>505</v>
      </c>
      <c r="F277" s="100"/>
      <c r="G277" s="146"/>
      <c r="H277" s="146"/>
      <c r="I277" s="146"/>
      <c r="J277" s="146">
        <v>6000</v>
      </c>
      <c r="K277" s="146"/>
      <c r="L277" s="146"/>
      <c r="M277" s="146"/>
      <c r="N277" s="146"/>
      <c r="O277" s="146"/>
      <c r="P277" s="146"/>
      <c r="Q277" s="138">
        <f t="shared" si="6"/>
        <v>6000</v>
      </c>
      <c r="R277" s="114">
        <f t="shared" si="8"/>
        <v>0</v>
      </c>
      <c r="S277" s="161" t="s">
        <v>878</v>
      </c>
      <c r="T277" s="101"/>
      <c r="U277" s="102"/>
      <c r="V277" s="102"/>
      <c r="W277" s="102"/>
      <c r="X277" s="102"/>
      <c r="Y277" s="102"/>
      <c r="Z277" s="102"/>
      <c r="AA277" s="102"/>
      <c r="AB277" s="102"/>
    </row>
    <row r="278" spans="1:28" s="103" customFormat="1" ht="24">
      <c r="A278" s="118" t="s">
        <v>725</v>
      </c>
      <c r="B278" s="104" t="s">
        <v>476</v>
      </c>
      <c r="C278" s="105" t="s">
        <v>513</v>
      </c>
      <c r="D278" s="106" t="s">
        <v>489</v>
      </c>
      <c r="E278" s="99" t="s">
        <v>505</v>
      </c>
      <c r="F278" s="100"/>
      <c r="G278" s="146"/>
      <c r="H278" s="146"/>
      <c r="I278" s="146"/>
      <c r="J278" s="146">
        <v>2550</v>
      </c>
      <c r="K278" s="146"/>
      <c r="L278" s="146"/>
      <c r="M278" s="146"/>
      <c r="N278" s="146"/>
      <c r="O278" s="146"/>
      <c r="P278" s="146">
        <v>3450</v>
      </c>
      <c r="Q278" s="138">
        <f t="shared" si="6"/>
        <v>6000</v>
      </c>
      <c r="R278" s="114">
        <f t="shared" si="8"/>
        <v>0</v>
      </c>
      <c r="S278" s="161"/>
      <c r="T278" s="101"/>
      <c r="U278" s="102"/>
      <c r="V278" s="102"/>
      <c r="W278" s="102"/>
      <c r="X278" s="102"/>
      <c r="Y278" s="102"/>
      <c r="Z278" s="102"/>
      <c r="AA278" s="102"/>
      <c r="AB278" s="102"/>
    </row>
    <row r="279" spans="1:28" s="37" customFormat="1" ht="24">
      <c r="A279" s="2" t="s">
        <v>726</v>
      </c>
      <c r="B279" s="75" t="s">
        <v>476</v>
      </c>
      <c r="C279" s="8" t="s">
        <v>514</v>
      </c>
      <c r="D279" s="9" t="s">
        <v>489</v>
      </c>
      <c r="E279" s="11" t="s">
        <v>505</v>
      </c>
      <c r="F279" s="56"/>
      <c r="G279" s="133"/>
      <c r="H279" s="133"/>
      <c r="I279" s="133">
        <v>610</v>
      </c>
      <c r="J279" s="133"/>
      <c r="K279" s="133"/>
      <c r="L279" s="133"/>
      <c r="M279" s="133"/>
      <c r="N279" s="133"/>
      <c r="O279" s="133"/>
      <c r="P279" s="133"/>
      <c r="Q279" s="79">
        <f t="shared" si="6"/>
        <v>610</v>
      </c>
      <c r="R279" s="151">
        <f t="shared" si="8"/>
        <v>5390</v>
      </c>
      <c r="S279" s="160"/>
      <c r="T279" s="35"/>
      <c r="U279" s="36"/>
      <c r="V279" s="36"/>
      <c r="W279" s="36"/>
      <c r="X279" s="36"/>
      <c r="Y279" s="36"/>
      <c r="Z279" s="36"/>
      <c r="AA279" s="36"/>
      <c r="AB279" s="36"/>
    </row>
    <row r="280" spans="1:28" s="37" customFormat="1" ht="24">
      <c r="A280" s="2" t="s">
        <v>727</v>
      </c>
      <c r="B280" s="75" t="s">
        <v>481</v>
      </c>
      <c r="C280" s="8" t="s">
        <v>515</v>
      </c>
      <c r="D280" s="9" t="s">
        <v>489</v>
      </c>
      <c r="E280" s="11" t="s">
        <v>505</v>
      </c>
      <c r="F280" s="56"/>
      <c r="G280" s="133"/>
      <c r="H280" s="133"/>
      <c r="I280" s="133">
        <v>610</v>
      </c>
      <c r="J280" s="133"/>
      <c r="K280" s="133">
        <v>400</v>
      </c>
      <c r="L280" s="133">
        <f>1000+1000</f>
        <v>2000</v>
      </c>
      <c r="M280" s="133"/>
      <c r="N280" s="133"/>
      <c r="O280" s="133"/>
      <c r="P280" s="133"/>
      <c r="Q280" s="79">
        <f t="shared" si="6"/>
        <v>3010</v>
      </c>
      <c r="R280" s="151">
        <f t="shared" si="8"/>
        <v>2990</v>
      </c>
      <c r="S280" s="160"/>
      <c r="T280" s="35"/>
      <c r="U280" s="36"/>
      <c r="V280" s="36"/>
      <c r="W280" s="36"/>
      <c r="X280" s="36"/>
      <c r="Y280" s="36"/>
      <c r="Z280" s="36"/>
      <c r="AA280" s="36"/>
      <c r="AB280" s="36"/>
    </row>
    <row r="281" spans="1:28" s="103" customFormat="1" ht="24">
      <c r="A281" s="118"/>
      <c r="B281" s="104" t="s">
        <v>476</v>
      </c>
      <c r="C281" s="105" t="s">
        <v>876</v>
      </c>
      <c r="D281" s="106" t="s">
        <v>489</v>
      </c>
      <c r="E281" s="99" t="s">
        <v>492</v>
      </c>
      <c r="F281" s="100"/>
      <c r="G281" s="146"/>
      <c r="H281" s="146">
        <f>600+780+780</f>
        <v>2160</v>
      </c>
      <c r="I281" s="146"/>
      <c r="J281" s="146"/>
      <c r="K281" s="146">
        <v>3840</v>
      </c>
      <c r="L281" s="146"/>
      <c r="M281" s="146"/>
      <c r="N281" s="146"/>
      <c r="O281" s="146"/>
      <c r="P281" s="146"/>
      <c r="Q281" s="138">
        <f t="shared" si="6"/>
        <v>6000</v>
      </c>
      <c r="R281" s="114">
        <f t="shared" si="8"/>
        <v>0</v>
      </c>
      <c r="S281" s="161"/>
      <c r="T281" s="101"/>
      <c r="U281" s="102"/>
      <c r="V281" s="102"/>
      <c r="W281" s="102"/>
      <c r="X281" s="102"/>
      <c r="Y281" s="102"/>
      <c r="Z281" s="102"/>
      <c r="AA281" s="102"/>
      <c r="AB281" s="102"/>
    </row>
    <row r="282" spans="1:28" s="218" customFormat="1" ht="24">
      <c r="A282" s="118" t="s">
        <v>728</v>
      </c>
      <c r="B282" s="96" t="s">
        <v>471</v>
      </c>
      <c r="C282" s="97" t="s">
        <v>516</v>
      </c>
      <c r="D282" s="98" t="s">
        <v>517</v>
      </c>
      <c r="E282" s="99" t="s">
        <v>518</v>
      </c>
      <c r="F282" s="100"/>
      <c r="G282" s="146"/>
      <c r="H282" s="146"/>
      <c r="I282" s="146">
        <v>1180</v>
      </c>
      <c r="J282" s="146"/>
      <c r="K282" s="146"/>
      <c r="L282" s="146"/>
      <c r="M282" s="146">
        <v>4820</v>
      </c>
      <c r="N282" s="146"/>
      <c r="O282" s="146"/>
      <c r="P282" s="146"/>
      <c r="Q282" s="138">
        <f t="shared" si="6"/>
        <v>6000</v>
      </c>
      <c r="R282" s="114">
        <f t="shared" si="8"/>
        <v>0</v>
      </c>
      <c r="S282" s="161"/>
      <c r="T282" s="166"/>
      <c r="U282" s="167"/>
      <c r="V282" s="167"/>
      <c r="W282" s="167"/>
      <c r="X282" s="167"/>
      <c r="Y282" s="167"/>
      <c r="Z282" s="167"/>
      <c r="AA282" s="167"/>
      <c r="AB282" s="167"/>
    </row>
    <row r="283" spans="1:28" s="190" customFormat="1" ht="24">
      <c r="A283" s="118" t="s">
        <v>729</v>
      </c>
      <c r="B283" s="96" t="s">
        <v>471</v>
      </c>
      <c r="C283" s="97" t="s">
        <v>519</v>
      </c>
      <c r="D283" s="98" t="s">
        <v>517</v>
      </c>
      <c r="E283" s="99" t="s">
        <v>518</v>
      </c>
      <c r="F283" s="100"/>
      <c r="G283" s="146"/>
      <c r="H283" s="146"/>
      <c r="I283" s="146">
        <f>1500+440+440+1615</f>
        <v>3995</v>
      </c>
      <c r="J283" s="146"/>
      <c r="K283" s="146"/>
      <c r="L283" s="146">
        <f>810+800</f>
        <v>1610</v>
      </c>
      <c r="M283" s="146"/>
      <c r="N283" s="146"/>
      <c r="O283" s="146">
        <v>395</v>
      </c>
      <c r="P283" s="146"/>
      <c r="Q283" s="138">
        <f aca="true" t="shared" si="9" ref="Q283:Q346">SUM(F283:P283)</f>
        <v>6000</v>
      </c>
      <c r="R283" s="114">
        <f t="shared" si="8"/>
        <v>0</v>
      </c>
      <c r="S283" s="161"/>
      <c r="T283" s="101"/>
      <c r="U283" s="102"/>
      <c r="V283" s="102"/>
      <c r="W283" s="102"/>
      <c r="X283" s="102"/>
      <c r="Y283" s="102"/>
      <c r="Z283" s="102"/>
      <c r="AA283" s="102"/>
      <c r="AB283" s="102"/>
    </row>
    <row r="284" spans="1:28" s="57" customFormat="1" ht="24">
      <c r="A284" s="2" t="s">
        <v>730</v>
      </c>
      <c r="B284" s="30" t="s">
        <v>476</v>
      </c>
      <c r="C284" s="4" t="s">
        <v>520</v>
      </c>
      <c r="D284" s="5" t="s">
        <v>489</v>
      </c>
      <c r="E284" s="11" t="s">
        <v>518</v>
      </c>
      <c r="F284" s="56"/>
      <c r="G284" s="133">
        <v>720</v>
      </c>
      <c r="H284" s="133">
        <v>1700</v>
      </c>
      <c r="I284" s="133">
        <v>750</v>
      </c>
      <c r="J284" s="133"/>
      <c r="K284" s="133"/>
      <c r="L284" s="133"/>
      <c r="M284" s="133"/>
      <c r="N284" s="133">
        <v>790</v>
      </c>
      <c r="O284" s="133"/>
      <c r="P284" s="133">
        <v>1920</v>
      </c>
      <c r="Q284" s="79">
        <f t="shared" si="9"/>
        <v>5880</v>
      </c>
      <c r="R284" s="151">
        <f t="shared" si="8"/>
        <v>120</v>
      </c>
      <c r="S284" s="160"/>
      <c r="T284" s="52"/>
      <c r="U284" s="53"/>
      <c r="V284" s="53"/>
      <c r="W284" s="53"/>
      <c r="X284" s="53"/>
      <c r="Y284" s="53"/>
      <c r="Z284" s="53"/>
      <c r="AA284" s="53"/>
      <c r="AB284" s="53"/>
    </row>
    <row r="285" spans="1:28" s="37" customFormat="1" ht="24">
      <c r="A285" s="2" t="s">
        <v>731</v>
      </c>
      <c r="B285" s="75" t="s">
        <v>476</v>
      </c>
      <c r="C285" s="8" t="s">
        <v>521</v>
      </c>
      <c r="D285" s="9" t="s">
        <v>489</v>
      </c>
      <c r="E285" s="10" t="s">
        <v>518</v>
      </c>
      <c r="F285" s="58"/>
      <c r="G285" s="136"/>
      <c r="H285" s="136"/>
      <c r="I285" s="136"/>
      <c r="J285" s="136">
        <v>700</v>
      </c>
      <c r="K285" s="136"/>
      <c r="L285" s="136"/>
      <c r="M285" s="136"/>
      <c r="N285" s="136"/>
      <c r="O285" s="136"/>
      <c r="P285" s="136"/>
      <c r="Q285" s="79">
        <f t="shared" si="9"/>
        <v>700</v>
      </c>
      <c r="R285" s="151">
        <f t="shared" si="8"/>
        <v>5300</v>
      </c>
      <c r="S285" s="160"/>
      <c r="T285" s="35"/>
      <c r="U285" s="36"/>
      <c r="V285" s="36"/>
      <c r="W285" s="36"/>
      <c r="X285" s="36"/>
      <c r="Y285" s="36"/>
      <c r="Z285" s="36"/>
      <c r="AA285" s="36"/>
      <c r="AB285" s="36"/>
    </row>
    <row r="286" spans="1:28" s="57" customFormat="1" ht="24">
      <c r="A286" s="2" t="s">
        <v>732</v>
      </c>
      <c r="B286" s="30" t="s">
        <v>476</v>
      </c>
      <c r="C286" s="4" t="s">
        <v>522</v>
      </c>
      <c r="D286" s="5" t="s">
        <v>523</v>
      </c>
      <c r="E286" s="11" t="s">
        <v>524</v>
      </c>
      <c r="F286" s="56"/>
      <c r="G286" s="133"/>
      <c r="H286" s="133"/>
      <c r="I286" s="133"/>
      <c r="J286" s="133"/>
      <c r="K286" s="133"/>
      <c r="L286" s="133"/>
      <c r="M286" s="133">
        <v>2293</v>
      </c>
      <c r="N286" s="133">
        <f>2330+780+250+250</f>
        <v>3610</v>
      </c>
      <c r="O286" s="133"/>
      <c r="P286" s="133"/>
      <c r="Q286" s="79">
        <f t="shared" si="9"/>
        <v>5903</v>
      </c>
      <c r="R286" s="151">
        <f t="shared" si="8"/>
        <v>97</v>
      </c>
      <c r="S286" s="160"/>
      <c r="T286" s="52"/>
      <c r="U286" s="53"/>
      <c r="V286" s="53"/>
      <c r="W286" s="53"/>
      <c r="X286" s="53"/>
      <c r="Y286" s="53"/>
      <c r="Z286" s="53"/>
      <c r="AA286" s="53"/>
      <c r="AB286" s="53"/>
    </row>
    <row r="287" spans="1:28" s="103" customFormat="1" ht="24">
      <c r="A287" s="118" t="s">
        <v>733</v>
      </c>
      <c r="B287" s="104" t="s">
        <v>476</v>
      </c>
      <c r="C287" s="105" t="s">
        <v>525</v>
      </c>
      <c r="D287" s="106" t="s">
        <v>517</v>
      </c>
      <c r="E287" s="107" t="s">
        <v>518</v>
      </c>
      <c r="F287" s="108"/>
      <c r="G287" s="145">
        <v>1290</v>
      </c>
      <c r="H287" s="145">
        <f>540+725</f>
        <v>1265</v>
      </c>
      <c r="I287" s="145">
        <f>2155+1290</f>
        <v>3445</v>
      </c>
      <c r="J287" s="145"/>
      <c r="K287" s="145"/>
      <c r="L287" s="145"/>
      <c r="M287" s="145"/>
      <c r="N287" s="145"/>
      <c r="O287" s="145"/>
      <c r="P287" s="145"/>
      <c r="Q287" s="138">
        <f t="shared" si="9"/>
        <v>6000</v>
      </c>
      <c r="R287" s="114">
        <f t="shared" si="8"/>
        <v>0</v>
      </c>
      <c r="S287" s="161"/>
      <c r="T287" s="101"/>
      <c r="U287" s="102"/>
      <c r="V287" s="102"/>
      <c r="W287" s="102"/>
      <c r="X287" s="102"/>
      <c r="Y287" s="102"/>
      <c r="Z287" s="102"/>
      <c r="AA287" s="102"/>
      <c r="AB287" s="102"/>
    </row>
    <row r="288" spans="1:28" s="218" customFormat="1" ht="24">
      <c r="A288" s="118" t="s">
        <v>734</v>
      </c>
      <c r="B288" s="96" t="s">
        <v>481</v>
      </c>
      <c r="C288" s="97" t="s">
        <v>526</v>
      </c>
      <c r="D288" s="98" t="s">
        <v>483</v>
      </c>
      <c r="E288" s="99" t="s">
        <v>518</v>
      </c>
      <c r="F288" s="100"/>
      <c r="G288" s="146"/>
      <c r="H288" s="146"/>
      <c r="I288" s="146"/>
      <c r="J288" s="146">
        <f>2264+1580</f>
        <v>3844</v>
      </c>
      <c r="K288" s="146"/>
      <c r="L288" s="146"/>
      <c r="M288" s="146">
        <v>2156</v>
      </c>
      <c r="N288" s="146"/>
      <c r="O288" s="146"/>
      <c r="P288" s="146"/>
      <c r="Q288" s="138">
        <f t="shared" si="9"/>
        <v>6000</v>
      </c>
      <c r="R288" s="114">
        <f t="shared" si="8"/>
        <v>0</v>
      </c>
      <c r="S288" s="161"/>
      <c r="T288" s="166"/>
      <c r="U288" s="167"/>
      <c r="V288" s="167"/>
      <c r="W288" s="167"/>
      <c r="X288" s="167"/>
      <c r="Y288" s="167"/>
      <c r="Z288" s="167"/>
      <c r="AA288" s="167"/>
      <c r="AB288" s="167"/>
    </row>
    <row r="289" spans="1:28" s="37" customFormat="1" ht="24">
      <c r="A289" s="2" t="s">
        <v>735</v>
      </c>
      <c r="B289" s="30" t="s">
        <v>481</v>
      </c>
      <c r="C289" s="4" t="s">
        <v>527</v>
      </c>
      <c r="D289" s="5" t="s">
        <v>517</v>
      </c>
      <c r="E289" s="59" t="s">
        <v>518</v>
      </c>
      <c r="F289" s="60"/>
      <c r="G289" s="129">
        <v>900</v>
      </c>
      <c r="H289" s="129">
        <v>1115</v>
      </c>
      <c r="I289" s="129">
        <v>1180</v>
      </c>
      <c r="J289" s="129">
        <v>2057</v>
      </c>
      <c r="K289" s="129">
        <v>580</v>
      </c>
      <c r="L289" s="129"/>
      <c r="M289" s="129"/>
      <c r="N289" s="129"/>
      <c r="O289" s="129"/>
      <c r="P289" s="129"/>
      <c r="Q289" s="79">
        <f t="shared" si="9"/>
        <v>5832</v>
      </c>
      <c r="R289" s="151">
        <f t="shared" si="8"/>
        <v>168</v>
      </c>
      <c r="S289" s="160"/>
      <c r="T289" s="35"/>
      <c r="U289" s="36"/>
      <c r="V289" s="36"/>
      <c r="W289" s="36"/>
      <c r="X289" s="36"/>
      <c r="Y289" s="36"/>
      <c r="Z289" s="36"/>
      <c r="AA289" s="36"/>
      <c r="AB289" s="36"/>
    </row>
    <row r="290" spans="1:28" s="37" customFormat="1" ht="24">
      <c r="A290" s="2" t="s">
        <v>736</v>
      </c>
      <c r="B290" s="30" t="s">
        <v>471</v>
      </c>
      <c r="C290" s="4" t="s">
        <v>528</v>
      </c>
      <c r="D290" s="5" t="s">
        <v>517</v>
      </c>
      <c r="E290" s="59" t="s">
        <v>518</v>
      </c>
      <c r="F290" s="60"/>
      <c r="G290" s="129"/>
      <c r="H290" s="129"/>
      <c r="I290" s="129">
        <f>250+800</f>
        <v>1050</v>
      </c>
      <c r="J290" s="129"/>
      <c r="K290" s="129"/>
      <c r="L290" s="129">
        <f>400+250</f>
        <v>650</v>
      </c>
      <c r="M290" s="129"/>
      <c r="N290" s="129">
        <f>2100+350+700+580</f>
        <v>3730</v>
      </c>
      <c r="O290" s="129"/>
      <c r="P290" s="129">
        <v>250</v>
      </c>
      <c r="Q290" s="79">
        <f t="shared" si="9"/>
        <v>5680</v>
      </c>
      <c r="R290" s="151">
        <f t="shared" si="8"/>
        <v>320</v>
      </c>
      <c r="S290" s="160"/>
      <c r="T290" s="35"/>
      <c r="U290" s="36"/>
      <c r="V290" s="36"/>
      <c r="W290" s="36"/>
      <c r="X290" s="36"/>
      <c r="Y290" s="36"/>
      <c r="Z290" s="36"/>
      <c r="AA290" s="36"/>
      <c r="AB290" s="36"/>
    </row>
    <row r="291" spans="1:28" s="37" customFormat="1" ht="24">
      <c r="A291" s="2" t="s">
        <v>737</v>
      </c>
      <c r="B291" s="30" t="s">
        <v>476</v>
      </c>
      <c r="C291" s="4" t="s">
        <v>529</v>
      </c>
      <c r="D291" s="5" t="s">
        <v>517</v>
      </c>
      <c r="E291" s="59" t="s">
        <v>518</v>
      </c>
      <c r="F291" s="60"/>
      <c r="G291" s="129"/>
      <c r="H291" s="129"/>
      <c r="I291" s="129"/>
      <c r="J291" s="129"/>
      <c r="K291" s="129"/>
      <c r="L291" s="129"/>
      <c r="M291" s="129"/>
      <c r="N291" s="129">
        <f>330+840+660+300+660+420</f>
        <v>3210</v>
      </c>
      <c r="O291" s="129"/>
      <c r="P291" s="129">
        <f>400+660+280+350+400</f>
        <v>2090</v>
      </c>
      <c r="Q291" s="79">
        <f t="shared" si="9"/>
        <v>5300</v>
      </c>
      <c r="R291" s="151">
        <f t="shared" si="8"/>
        <v>700</v>
      </c>
      <c r="S291" s="160"/>
      <c r="T291" s="35"/>
      <c r="U291" s="36"/>
      <c r="V291" s="36"/>
      <c r="W291" s="36"/>
      <c r="X291" s="36"/>
      <c r="Y291" s="36"/>
      <c r="Z291" s="36"/>
      <c r="AA291" s="36"/>
      <c r="AB291" s="36"/>
    </row>
    <row r="292" spans="1:20" s="102" customFormat="1" ht="24">
      <c r="A292" s="118" t="s">
        <v>738</v>
      </c>
      <c r="B292" s="96" t="s">
        <v>471</v>
      </c>
      <c r="C292" s="97" t="s">
        <v>530</v>
      </c>
      <c r="D292" s="98" t="s">
        <v>531</v>
      </c>
      <c r="E292" s="99" t="s">
        <v>532</v>
      </c>
      <c r="F292" s="100">
        <v>455</v>
      </c>
      <c r="G292" s="146">
        <v>500</v>
      </c>
      <c r="H292" s="146"/>
      <c r="I292" s="146">
        <v>5045</v>
      </c>
      <c r="J292" s="146"/>
      <c r="K292" s="146"/>
      <c r="L292" s="146"/>
      <c r="M292" s="146"/>
      <c r="N292" s="146"/>
      <c r="O292" s="146"/>
      <c r="P292" s="146"/>
      <c r="Q292" s="138">
        <f t="shared" si="9"/>
        <v>6000</v>
      </c>
      <c r="R292" s="114">
        <f t="shared" si="8"/>
        <v>0</v>
      </c>
      <c r="S292" s="161"/>
      <c r="T292" s="101"/>
    </row>
    <row r="293" spans="1:28" s="117" customFormat="1" ht="24">
      <c r="A293" s="118" t="s">
        <v>739</v>
      </c>
      <c r="B293" s="109" t="s">
        <v>471</v>
      </c>
      <c r="C293" s="110" t="s">
        <v>533</v>
      </c>
      <c r="D293" s="111" t="s">
        <v>483</v>
      </c>
      <c r="E293" s="112" t="s">
        <v>532</v>
      </c>
      <c r="F293" s="113">
        <f>1074.5+4925.5</f>
        <v>6000</v>
      </c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38">
        <f t="shared" si="9"/>
        <v>6000</v>
      </c>
      <c r="R293" s="114">
        <f t="shared" si="8"/>
        <v>0</v>
      </c>
      <c r="S293" s="161"/>
      <c r="T293" s="115"/>
      <c r="U293" s="116"/>
      <c r="V293" s="116"/>
      <c r="W293" s="116"/>
      <c r="X293" s="116"/>
      <c r="Y293" s="116"/>
      <c r="Z293" s="116"/>
      <c r="AA293" s="116"/>
      <c r="AB293" s="116"/>
    </row>
    <row r="294" spans="1:28" s="57" customFormat="1" ht="24">
      <c r="A294" s="2" t="s">
        <v>740</v>
      </c>
      <c r="B294" s="30" t="s">
        <v>471</v>
      </c>
      <c r="C294" s="4" t="s">
        <v>534</v>
      </c>
      <c r="D294" s="5" t="s">
        <v>531</v>
      </c>
      <c r="E294" s="11" t="s">
        <v>532</v>
      </c>
      <c r="F294" s="56"/>
      <c r="G294" s="133"/>
      <c r="H294" s="133">
        <v>385</v>
      </c>
      <c r="I294" s="133">
        <v>365</v>
      </c>
      <c r="J294" s="133">
        <f>630+250</f>
        <v>880</v>
      </c>
      <c r="K294" s="133">
        <v>250</v>
      </c>
      <c r="L294" s="133">
        <v>250</v>
      </c>
      <c r="M294" s="133">
        <v>258</v>
      </c>
      <c r="N294" s="133">
        <v>1080</v>
      </c>
      <c r="O294" s="133"/>
      <c r="P294" s="133">
        <v>250</v>
      </c>
      <c r="Q294" s="79">
        <f t="shared" si="9"/>
        <v>3718</v>
      </c>
      <c r="R294" s="151">
        <f t="shared" si="8"/>
        <v>2282</v>
      </c>
      <c r="S294" s="160"/>
      <c r="T294" s="52"/>
      <c r="U294" s="53"/>
      <c r="V294" s="53"/>
      <c r="W294" s="53"/>
      <c r="X294" s="53"/>
      <c r="Y294" s="53"/>
      <c r="Z294" s="53"/>
      <c r="AA294" s="53"/>
      <c r="AB294" s="53"/>
    </row>
    <row r="295" spans="1:28" s="218" customFormat="1" ht="24">
      <c r="A295" s="118" t="s">
        <v>741</v>
      </c>
      <c r="B295" s="212" t="s">
        <v>476</v>
      </c>
      <c r="C295" s="213" t="s">
        <v>535</v>
      </c>
      <c r="D295" s="214" t="s">
        <v>531</v>
      </c>
      <c r="E295" s="215" t="s">
        <v>532</v>
      </c>
      <c r="F295" s="216">
        <v>1365</v>
      </c>
      <c r="G295" s="217">
        <v>1600</v>
      </c>
      <c r="H295" s="217"/>
      <c r="I295" s="217">
        <v>1020</v>
      </c>
      <c r="J295" s="217">
        <v>700</v>
      </c>
      <c r="K295" s="217"/>
      <c r="L295" s="217"/>
      <c r="M295" s="217">
        <v>1315</v>
      </c>
      <c r="N295" s="217"/>
      <c r="O295" s="217"/>
      <c r="P295" s="217"/>
      <c r="Q295" s="138">
        <f t="shared" si="9"/>
        <v>6000</v>
      </c>
      <c r="R295" s="114">
        <f t="shared" si="8"/>
        <v>0</v>
      </c>
      <c r="S295" s="161"/>
      <c r="T295" s="166"/>
      <c r="U295" s="167"/>
      <c r="V295" s="167"/>
      <c r="W295" s="167"/>
      <c r="X295" s="167"/>
      <c r="Y295" s="167"/>
      <c r="Z295" s="167"/>
      <c r="AA295" s="167"/>
      <c r="AB295" s="167"/>
    </row>
    <row r="296" spans="1:28" s="218" customFormat="1" ht="24">
      <c r="A296" s="118" t="s">
        <v>742</v>
      </c>
      <c r="B296" s="219" t="s">
        <v>476</v>
      </c>
      <c r="C296" s="220" t="s">
        <v>536</v>
      </c>
      <c r="D296" s="221" t="s">
        <v>483</v>
      </c>
      <c r="E296" s="222" t="s">
        <v>532</v>
      </c>
      <c r="F296" s="223"/>
      <c r="G296" s="224"/>
      <c r="H296" s="224"/>
      <c r="I296" s="224">
        <v>2852.25</v>
      </c>
      <c r="J296" s="224"/>
      <c r="K296" s="224">
        <f>250+420</f>
        <v>670</v>
      </c>
      <c r="L296" s="224"/>
      <c r="M296" s="224">
        <v>2477.75</v>
      </c>
      <c r="N296" s="224"/>
      <c r="O296" s="224"/>
      <c r="P296" s="224"/>
      <c r="Q296" s="138">
        <f t="shared" si="9"/>
        <v>6000</v>
      </c>
      <c r="R296" s="114">
        <f t="shared" si="8"/>
        <v>0</v>
      </c>
      <c r="S296" s="161"/>
      <c r="T296" s="166"/>
      <c r="U296" s="167"/>
      <c r="V296" s="167"/>
      <c r="W296" s="167"/>
      <c r="X296" s="167"/>
      <c r="Y296" s="167"/>
      <c r="Z296" s="167"/>
      <c r="AA296" s="167"/>
      <c r="AB296" s="167"/>
    </row>
    <row r="297" spans="1:28" s="103" customFormat="1" ht="24">
      <c r="A297" s="118" t="s">
        <v>743</v>
      </c>
      <c r="B297" s="104" t="s">
        <v>476</v>
      </c>
      <c r="C297" s="105" t="s">
        <v>537</v>
      </c>
      <c r="D297" s="106" t="s">
        <v>531</v>
      </c>
      <c r="E297" s="107" t="s">
        <v>532</v>
      </c>
      <c r="F297" s="108">
        <v>6000</v>
      </c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38">
        <f t="shared" si="9"/>
        <v>6000</v>
      </c>
      <c r="R297" s="114">
        <f t="shared" si="8"/>
        <v>0</v>
      </c>
      <c r="S297" s="161"/>
      <c r="T297" s="101"/>
      <c r="U297" s="102"/>
      <c r="V297" s="102"/>
      <c r="W297" s="102"/>
      <c r="X297" s="102"/>
      <c r="Y297" s="102"/>
      <c r="Z297" s="102"/>
      <c r="AA297" s="102"/>
      <c r="AB297" s="102"/>
    </row>
    <row r="298" spans="1:28" s="37" customFormat="1" ht="24">
      <c r="A298" s="2" t="s">
        <v>744</v>
      </c>
      <c r="B298" s="30" t="s">
        <v>471</v>
      </c>
      <c r="C298" s="4" t="s">
        <v>538</v>
      </c>
      <c r="D298" s="5" t="s">
        <v>531</v>
      </c>
      <c r="E298" s="59" t="s">
        <v>532</v>
      </c>
      <c r="F298" s="60"/>
      <c r="G298" s="129"/>
      <c r="H298" s="129"/>
      <c r="I298" s="129"/>
      <c r="J298" s="129"/>
      <c r="K298" s="129">
        <v>620</v>
      </c>
      <c r="L298" s="129"/>
      <c r="M298" s="129"/>
      <c r="N298" s="129"/>
      <c r="O298" s="129"/>
      <c r="P298" s="129"/>
      <c r="Q298" s="79">
        <f t="shared" si="9"/>
        <v>620</v>
      </c>
      <c r="R298" s="151">
        <f t="shared" si="8"/>
        <v>5380</v>
      </c>
      <c r="S298" s="160"/>
      <c r="T298" s="35"/>
      <c r="U298" s="36"/>
      <c r="V298" s="36"/>
      <c r="W298" s="36"/>
      <c r="X298" s="36"/>
      <c r="Y298" s="36"/>
      <c r="Z298" s="36"/>
      <c r="AA298" s="36"/>
      <c r="AB298" s="36"/>
    </row>
    <row r="299" spans="1:28" s="103" customFormat="1" ht="24">
      <c r="A299" s="118" t="s">
        <v>745</v>
      </c>
      <c r="B299" s="96" t="s">
        <v>476</v>
      </c>
      <c r="C299" s="97" t="s">
        <v>539</v>
      </c>
      <c r="D299" s="98" t="s">
        <v>531</v>
      </c>
      <c r="E299" s="174" t="s">
        <v>532</v>
      </c>
      <c r="F299" s="113"/>
      <c r="G299" s="112"/>
      <c r="H299" s="112"/>
      <c r="I299" s="112"/>
      <c r="J299" s="112"/>
      <c r="K299" s="112"/>
      <c r="L299" s="112">
        <f>3560+1070</f>
        <v>4630</v>
      </c>
      <c r="M299" s="112">
        <v>1370</v>
      </c>
      <c r="N299" s="112"/>
      <c r="O299" s="112"/>
      <c r="P299" s="112"/>
      <c r="Q299" s="138">
        <f t="shared" si="9"/>
        <v>6000</v>
      </c>
      <c r="R299" s="114">
        <f t="shared" si="8"/>
        <v>0</v>
      </c>
      <c r="S299" s="161"/>
      <c r="T299" s="101"/>
      <c r="U299" s="102"/>
      <c r="V299" s="102"/>
      <c r="W299" s="102"/>
      <c r="X299" s="102"/>
      <c r="Y299" s="102"/>
      <c r="Z299" s="102"/>
      <c r="AA299" s="102"/>
      <c r="AB299" s="102"/>
    </row>
    <row r="300" spans="1:28" s="37" customFormat="1" ht="24">
      <c r="A300" s="2" t="s">
        <v>746</v>
      </c>
      <c r="B300" s="30" t="s">
        <v>476</v>
      </c>
      <c r="C300" s="4" t="s">
        <v>540</v>
      </c>
      <c r="D300" s="5" t="s">
        <v>531</v>
      </c>
      <c r="E300" s="59" t="s">
        <v>532</v>
      </c>
      <c r="F300" s="60"/>
      <c r="G300" s="129"/>
      <c r="H300" s="129"/>
      <c r="I300" s="129"/>
      <c r="J300" s="129"/>
      <c r="K300" s="129"/>
      <c r="L300" s="129">
        <f>600+700</f>
        <v>1300</v>
      </c>
      <c r="M300" s="129">
        <f>600+600+700+600</f>
        <v>2500</v>
      </c>
      <c r="N300" s="129"/>
      <c r="O300" s="129"/>
      <c r="P300" s="129">
        <v>400</v>
      </c>
      <c r="Q300" s="79">
        <f t="shared" si="9"/>
        <v>4200</v>
      </c>
      <c r="R300" s="151">
        <f t="shared" si="8"/>
        <v>1800</v>
      </c>
      <c r="S300" s="160"/>
      <c r="T300" s="35"/>
      <c r="U300" s="36"/>
      <c r="V300" s="36"/>
      <c r="W300" s="36"/>
      <c r="X300" s="36"/>
      <c r="Y300" s="36"/>
      <c r="Z300" s="36"/>
      <c r="AA300" s="36"/>
      <c r="AB300" s="36"/>
    </row>
    <row r="301" spans="1:28" s="103" customFormat="1" ht="24">
      <c r="A301" s="118" t="s">
        <v>747</v>
      </c>
      <c r="B301" s="96" t="s">
        <v>471</v>
      </c>
      <c r="C301" s="97" t="s">
        <v>541</v>
      </c>
      <c r="D301" s="98" t="s">
        <v>542</v>
      </c>
      <c r="E301" s="99" t="s">
        <v>543</v>
      </c>
      <c r="F301" s="100"/>
      <c r="G301" s="146">
        <v>3000</v>
      </c>
      <c r="H301" s="146">
        <v>3000</v>
      </c>
      <c r="I301" s="146"/>
      <c r="J301" s="146"/>
      <c r="K301" s="146"/>
      <c r="L301" s="146"/>
      <c r="M301" s="146"/>
      <c r="N301" s="146"/>
      <c r="O301" s="146"/>
      <c r="P301" s="146"/>
      <c r="Q301" s="138">
        <f t="shared" si="9"/>
        <v>6000</v>
      </c>
      <c r="R301" s="114">
        <f t="shared" si="8"/>
        <v>0</v>
      </c>
      <c r="S301" s="161"/>
      <c r="T301" s="101"/>
      <c r="U301" s="102"/>
      <c r="V301" s="102"/>
      <c r="W301" s="102"/>
      <c r="X301" s="102"/>
      <c r="Y301" s="102"/>
      <c r="Z301" s="102"/>
      <c r="AA301" s="102"/>
      <c r="AB301" s="102"/>
    </row>
    <row r="302" spans="1:28" s="103" customFormat="1" ht="24">
      <c r="A302" s="118" t="s">
        <v>748</v>
      </c>
      <c r="B302" s="96" t="s">
        <v>471</v>
      </c>
      <c r="C302" s="97" t="s">
        <v>544</v>
      </c>
      <c r="D302" s="98" t="s">
        <v>542</v>
      </c>
      <c r="E302" s="174" t="s">
        <v>543</v>
      </c>
      <c r="F302" s="113"/>
      <c r="G302" s="112">
        <f>1200+727</f>
        <v>1927</v>
      </c>
      <c r="H302" s="112"/>
      <c r="I302" s="112">
        <v>310</v>
      </c>
      <c r="J302" s="112"/>
      <c r="K302" s="112">
        <v>3763</v>
      </c>
      <c r="L302" s="112"/>
      <c r="M302" s="112"/>
      <c r="N302" s="112"/>
      <c r="O302" s="112"/>
      <c r="P302" s="112"/>
      <c r="Q302" s="138">
        <f t="shared" si="9"/>
        <v>6000</v>
      </c>
      <c r="R302" s="114">
        <f t="shared" si="8"/>
        <v>0</v>
      </c>
      <c r="S302" s="161"/>
      <c r="T302" s="101"/>
      <c r="U302" s="102"/>
      <c r="V302" s="102"/>
      <c r="W302" s="102"/>
      <c r="X302" s="102"/>
      <c r="Y302" s="102"/>
      <c r="Z302" s="102"/>
      <c r="AA302" s="102"/>
      <c r="AB302" s="102"/>
    </row>
    <row r="303" spans="1:28" s="103" customFormat="1" ht="24">
      <c r="A303" s="118" t="s">
        <v>749</v>
      </c>
      <c r="B303" s="104" t="s">
        <v>476</v>
      </c>
      <c r="C303" s="105" t="s">
        <v>545</v>
      </c>
      <c r="D303" s="106" t="s">
        <v>542</v>
      </c>
      <c r="E303" s="107" t="s">
        <v>543</v>
      </c>
      <c r="F303" s="108"/>
      <c r="G303" s="145"/>
      <c r="H303" s="145">
        <v>740</v>
      </c>
      <c r="I303" s="145"/>
      <c r="J303" s="145"/>
      <c r="K303" s="145">
        <v>665</v>
      </c>
      <c r="L303" s="145"/>
      <c r="M303" s="145"/>
      <c r="N303" s="145"/>
      <c r="O303" s="145"/>
      <c r="P303" s="145">
        <v>4595</v>
      </c>
      <c r="Q303" s="138">
        <f t="shared" si="9"/>
        <v>6000</v>
      </c>
      <c r="R303" s="114">
        <f t="shared" si="8"/>
        <v>0</v>
      </c>
      <c r="S303" s="161"/>
      <c r="T303" s="101"/>
      <c r="U303" s="102"/>
      <c r="V303" s="102"/>
      <c r="W303" s="102"/>
      <c r="X303" s="102"/>
      <c r="Y303" s="102"/>
      <c r="Z303" s="102"/>
      <c r="AA303" s="102"/>
      <c r="AB303" s="102"/>
    </row>
    <row r="304" spans="1:28" s="103" customFormat="1" ht="24">
      <c r="A304" s="118" t="s">
        <v>750</v>
      </c>
      <c r="B304" s="104" t="s">
        <v>476</v>
      </c>
      <c r="C304" s="105" t="s">
        <v>546</v>
      </c>
      <c r="D304" s="106" t="s">
        <v>542</v>
      </c>
      <c r="E304" s="107" t="s">
        <v>543</v>
      </c>
      <c r="F304" s="108"/>
      <c r="G304" s="145"/>
      <c r="H304" s="145"/>
      <c r="I304" s="145"/>
      <c r="J304" s="145"/>
      <c r="K304" s="145"/>
      <c r="L304" s="145">
        <v>6000</v>
      </c>
      <c r="M304" s="145"/>
      <c r="N304" s="145"/>
      <c r="O304" s="145"/>
      <c r="P304" s="145"/>
      <c r="Q304" s="138">
        <f t="shared" si="9"/>
        <v>6000</v>
      </c>
      <c r="R304" s="114">
        <f t="shared" si="8"/>
        <v>0</v>
      </c>
      <c r="S304" s="161"/>
      <c r="T304" s="101"/>
      <c r="U304" s="102"/>
      <c r="V304" s="102"/>
      <c r="W304" s="102"/>
      <c r="X304" s="102"/>
      <c r="Y304" s="102"/>
      <c r="Z304" s="102"/>
      <c r="AA304" s="102"/>
      <c r="AB304" s="102"/>
    </row>
    <row r="305" spans="1:28" s="37" customFormat="1" ht="24">
      <c r="A305" s="2" t="s">
        <v>751</v>
      </c>
      <c r="B305" s="75" t="s">
        <v>476</v>
      </c>
      <c r="C305" s="8" t="s">
        <v>547</v>
      </c>
      <c r="D305" s="9" t="s">
        <v>542</v>
      </c>
      <c r="E305" s="10" t="s">
        <v>543</v>
      </c>
      <c r="F305" s="58"/>
      <c r="G305" s="136"/>
      <c r="H305" s="136"/>
      <c r="I305" s="136"/>
      <c r="J305" s="136"/>
      <c r="K305" s="136">
        <v>3544</v>
      </c>
      <c r="L305" s="136"/>
      <c r="M305" s="136"/>
      <c r="N305" s="136"/>
      <c r="O305" s="136">
        <v>1492</v>
      </c>
      <c r="P305" s="136"/>
      <c r="Q305" s="79">
        <f t="shared" si="9"/>
        <v>5036</v>
      </c>
      <c r="R305" s="151">
        <f t="shared" si="8"/>
        <v>964</v>
      </c>
      <c r="S305" s="160"/>
      <c r="T305" s="35"/>
      <c r="U305" s="36"/>
      <c r="V305" s="36"/>
      <c r="W305" s="36"/>
      <c r="X305" s="36"/>
      <c r="Y305" s="36"/>
      <c r="Z305" s="36"/>
      <c r="AA305" s="36"/>
      <c r="AB305" s="36"/>
    </row>
    <row r="306" spans="1:28" s="103" customFormat="1" ht="24">
      <c r="A306" s="118" t="s">
        <v>752</v>
      </c>
      <c r="B306" s="104" t="s">
        <v>476</v>
      </c>
      <c r="C306" s="105" t="s">
        <v>548</v>
      </c>
      <c r="D306" s="106" t="s">
        <v>549</v>
      </c>
      <c r="E306" s="107" t="s">
        <v>543</v>
      </c>
      <c r="F306" s="108"/>
      <c r="G306" s="145"/>
      <c r="H306" s="145"/>
      <c r="I306" s="145">
        <v>200</v>
      </c>
      <c r="J306" s="145">
        <v>5800</v>
      </c>
      <c r="K306" s="145"/>
      <c r="L306" s="145"/>
      <c r="M306" s="145"/>
      <c r="N306" s="145"/>
      <c r="O306" s="145"/>
      <c r="P306" s="145"/>
      <c r="Q306" s="138">
        <f t="shared" si="9"/>
        <v>6000</v>
      </c>
      <c r="R306" s="114">
        <f t="shared" si="8"/>
        <v>0</v>
      </c>
      <c r="S306" s="161"/>
      <c r="T306" s="101"/>
      <c r="U306" s="102"/>
      <c r="V306" s="102"/>
      <c r="W306" s="102"/>
      <c r="X306" s="102"/>
      <c r="Y306" s="102"/>
      <c r="Z306" s="102"/>
      <c r="AA306" s="102"/>
      <c r="AB306" s="102"/>
    </row>
    <row r="307" spans="1:28" s="103" customFormat="1" ht="24">
      <c r="A307" s="118" t="s">
        <v>753</v>
      </c>
      <c r="B307" s="104" t="s">
        <v>481</v>
      </c>
      <c r="C307" s="105" t="s">
        <v>550</v>
      </c>
      <c r="D307" s="106" t="s">
        <v>549</v>
      </c>
      <c r="E307" s="107" t="s">
        <v>543</v>
      </c>
      <c r="F307" s="108"/>
      <c r="G307" s="145"/>
      <c r="H307" s="145">
        <v>1460</v>
      </c>
      <c r="I307" s="145"/>
      <c r="J307" s="145">
        <v>1600</v>
      </c>
      <c r="K307" s="145">
        <v>2940</v>
      </c>
      <c r="L307" s="145"/>
      <c r="M307" s="145"/>
      <c r="N307" s="145"/>
      <c r="O307" s="145"/>
      <c r="P307" s="145"/>
      <c r="Q307" s="138">
        <f t="shared" si="9"/>
        <v>6000</v>
      </c>
      <c r="R307" s="114">
        <f t="shared" si="8"/>
        <v>0</v>
      </c>
      <c r="S307" s="161"/>
      <c r="T307" s="101"/>
      <c r="U307" s="102"/>
      <c r="V307" s="102"/>
      <c r="W307" s="102"/>
      <c r="X307" s="102"/>
      <c r="Y307" s="102"/>
      <c r="Z307" s="102"/>
      <c r="AA307" s="102"/>
      <c r="AB307" s="102"/>
    </row>
    <row r="308" spans="1:28" s="103" customFormat="1" ht="24">
      <c r="A308" s="118" t="s">
        <v>754</v>
      </c>
      <c r="B308" s="104" t="s">
        <v>471</v>
      </c>
      <c r="C308" s="105" t="s">
        <v>551</v>
      </c>
      <c r="D308" s="106" t="s">
        <v>542</v>
      </c>
      <c r="E308" s="107" t="s">
        <v>543</v>
      </c>
      <c r="F308" s="108"/>
      <c r="G308" s="145"/>
      <c r="H308" s="145">
        <v>4025</v>
      </c>
      <c r="I308" s="145">
        <v>780</v>
      </c>
      <c r="J308" s="145"/>
      <c r="K308" s="145">
        <v>1195</v>
      </c>
      <c r="L308" s="145"/>
      <c r="M308" s="145"/>
      <c r="N308" s="145"/>
      <c r="O308" s="145"/>
      <c r="P308" s="145"/>
      <c r="Q308" s="138">
        <f t="shared" si="9"/>
        <v>6000</v>
      </c>
      <c r="R308" s="114">
        <f t="shared" si="8"/>
        <v>0</v>
      </c>
      <c r="S308" s="161"/>
      <c r="T308" s="101"/>
      <c r="U308" s="102"/>
      <c r="V308" s="102"/>
      <c r="W308" s="102"/>
      <c r="X308" s="102"/>
      <c r="Y308" s="102"/>
      <c r="Z308" s="102"/>
      <c r="AA308" s="102"/>
      <c r="AB308" s="102"/>
    </row>
    <row r="309" spans="1:28" s="37" customFormat="1" ht="24">
      <c r="A309" s="2" t="s">
        <v>755</v>
      </c>
      <c r="B309" s="30" t="s">
        <v>476</v>
      </c>
      <c r="C309" s="4" t="s">
        <v>552</v>
      </c>
      <c r="D309" s="5" t="s">
        <v>549</v>
      </c>
      <c r="E309" s="10" t="s">
        <v>543</v>
      </c>
      <c r="F309" s="58"/>
      <c r="G309" s="136"/>
      <c r="H309" s="136"/>
      <c r="I309" s="136">
        <f>310+840</f>
        <v>1150</v>
      </c>
      <c r="J309" s="136"/>
      <c r="K309" s="136"/>
      <c r="L309" s="136"/>
      <c r="M309" s="136"/>
      <c r="N309" s="136">
        <v>780</v>
      </c>
      <c r="O309" s="136"/>
      <c r="P309" s="136">
        <v>500</v>
      </c>
      <c r="Q309" s="79">
        <f t="shared" si="9"/>
        <v>2430</v>
      </c>
      <c r="R309" s="151">
        <f t="shared" si="8"/>
        <v>3570</v>
      </c>
      <c r="S309" s="160"/>
      <c r="T309" s="35"/>
      <c r="U309" s="36"/>
      <c r="V309" s="36"/>
      <c r="W309" s="36"/>
      <c r="X309" s="36"/>
      <c r="Y309" s="36"/>
      <c r="Z309" s="36"/>
      <c r="AA309" s="36"/>
      <c r="AB309" s="36"/>
    </row>
    <row r="310" spans="1:28" s="37" customFormat="1" ht="24">
      <c r="A310" s="2" t="s">
        <v>756</v>
      </c>
      <c r="B310" s="30" t="s">
        <v>471</v>
      </c>
      <c r="C310" s="4" t="s">
        <v>553</v>
      </c>
      <c r="D310" s="5" t="s">
        <v>489</v>
      </c>
      <c r="E310" s="59" t="s">
        <v>554</v>
      </c>
      <c r="F310" s="60"/>
      <c r="G310" s="129">
        <v>330</v>
      </c>
      <c r="H310" s="129"/>
      <c r="I310" s="129">
        <v>1700</v>
      </c>
      <c r="J310" s="129"/>
      <c r="K310" s="129">
        <v>920</v>
      </c>
      <c r="L310" s="129"/>
      <c r="M310" s="129">
        <v>400</v>
      </c>
      <c r="N310" s="129"/>
      <c r="O310" s="129"/>
      <c r="P310" s="129"/>
      <c r="Q310" s="79">
        <f t="shared" si="9"/>
        <v>3350</v>
      </c>
      <c r="R310" s="151">
        <f t="shared" si="8"/>
        <v>2650</v>
      </c>
      <c r="S310" s="160"/>
      <c r="T310" s="35"/>
      <c r="U310" s="36"/>
      <c r="V310" s="36"/>
      <c r="W310" s="36"/>
      <c r="X310" s="36"/>
      <c r="Y310" s="36"/>
      <c r="Z310" s="36"/>
      <c r="AA310" s="36"/>
      <c r="AB310" s="36"/>
    </row>
    <row r="311" spans="1:28" s="190" customFormat="1" ht="24">
      <c r="A311" s="118" t="s">
        <v>757</v>
      </c>
      <c r="B311" s="96" t="s">
        <v>471</v>
      </c>
      <c r="C311" s="97" t="s">
        <v>555</v>
      </c>
      <c r="D311" s="98" t="s">
        <v>473</v>
      </c>
      <c r="E311" s="99" t="s">
        <v>554</v>
      </c>
      <c r="F311" s="100"/>
      <c r="G311" s="146">
        <f>1095+2150</f>
        <v>3245</v>
      </c>
      <c r="H311" s="146">
        <v>555</v>
      </c>
      <c r="I311" s="146"/>
      <c r="J311" s="146">
        <v>2200</v>
      </c>
      <c r="K311" s="146"/>
      <c r="L311" s="146"/>
      <c r="M311" s="146"/>
      <c r="N311" s="146"/>
      <c r="O311" s="146"/>
      <c r="P311" s="146"/>
      <c r="Q311" s="138">
        <f t="shared" si="9"/>
        <v>6000</v>
      </c>
      <c r="R311" s="114">
        <f t="shared" si="8"/>
        <v>0</v>
      </c>
      <c r="S311" s="161"/>
      <c r="T311" s="101"/>
      <c r="U311" s="102"/>
      <c r="V311" s="102"/>
      <c r="W311" s="102"/>
      <c r="X311" s="102"/>
      <c r="Y311" s="102"/>
      <c r="Z311" s="102"/>
      <c r="AA311" s="102"/>
      <c r="AB311" s="102"/>
    </row>
    <row r="312" spans="1:28" s="37" customFormat="1" ht="24">
      <c r="A312" s="2" t="s">
        <v>758</v>
      </c>
      <c r="B312" s="75" t="s">
        <v>471</v>
      </c>
      <c r="C312" s="8" t="s">
        <v>556</v>
      </c>
      <c r="D312" s="9" t="s">
        <v>531</v>
      </c>
      <c r="E312" s="10" t="s">
        <v>554</v>
      </c>
      <c r="F312" s="58"/>
      <c r="G312" s="136">
        <v>1101</v>
      </c>
      <c r="H312" s="136"/>
      <c r="I312" s="136"/>
      <c r="J312" s="136"/>
      <c r="K312" s="136"/>
      <c r="L312" s="136">
        <v>618</v>
      </c>
      <c r="M312" s="136"/>
      <c r="N312" s="136">
        <v>430</v>
      </c>
      <c r="O312" s="136"/>
      <c r="P312" s="136">
        <v>2800</v>
      </c>
      <c r="Q312" s="79">
        <f t="shared" si="9"/>
        <v>4949</v>
      </c>
      <c r="R312" s="151">
        <f t="shared" si="8"/>
        <v>1051</v>
      </c>
      <c r="S312" s="160"/>
      <c r="T312" s="35"/>
      <c r="U312" s="36"/>
      <c r="V312" s="36"/>
      <c r="W312" s="36"/>
      <c r="X312" s="36"/>
      <c r="Y312" s="36"/>
      <c r="Z312" s="36"/>
      <c r="AA312" s="36"/>
      <c r="AB312" s="36"/>
    </row>
    <row r="313" spans="1:28" s="37" customFormat="1" ht="24">
      <c r="A313" s="2" t="s">
        <v>759</v>
      </c>
      <c r="B313" s="30" t="s">
        <v>476</v>
      </c>
      <c r="C313" s="4" t="s">
        <v>557</v>
      </c>
      <c r="D313" s="5" t="s">
        <v>531</v>
      </c>
      <c r="E313" s="59" t="s">
        <v>554</v>
      </c>
      <c r="F313" s="60"/>
      <c r="G313" s="129"/>
      <c r="H313" s="129"/>
      <c r="I313" s="129">
        <v>885</v>
      </c>
      <c r="J313" s="129">
        <v>580</v>
      </c>
      <c r="K313" s="129">
        <v>1210</v>
      </c>
      <c r="L313" s="129">
        <v>750</v>
      </c>
      <c r="M313" s="129"/>
      <c r="N313" s="129"/>
      <c r="O313" s="129">
        <v>1450</v>
      </c>
      <c r="P313" s="129"/>
      <c r="Q313" s="79">
        <f t="shared" si="9"/>
        <v>4875</v>
      </c>
      <c r="R313" s="151">
        <f t="shared" si="8"/>
        <v>1125</v>
      </c>
      <c r="S313" s="160"/>
      <c r="T313" s="35"/>
      <c r="U313" s="36"/>
      <c r="V313" s="36"/>
      <c r="W313" s="36"/>
      <c r="X313" s="36"/>
      <c r="Y313" s="36"/>
      <c r="Z313" s="36"/>
      <c r="AA313" s="36"/>
      <c r="AB313" s="36"/>
    </row>
    <row r="314" spans="1:28" s="37" customFormat="1" ht="24">
      <c r="A314" s="2" t="s">
        <v>760</v>
      </c>
      <c r="B314" s="30" t="s">
        <v>476</v>
      </c>
      <c r="C314" s="4" t="s">
        <v>558</v>
      </c>
      <c r="D314" s="5" t="s">
        <v>489</v>
      </c>
      <c r="E314" s="59" t="s">
        <v>554</v>
      </c>
      <c r="F314" s="60"/>
      <c r="G314" s="129"/>
      <c r="H314" s="129">
        <v>500</v>
      </c>
      <c r="I314" s="129"/>
      <c r="J314" s="129">
        <v>170</v>
      </c>
      <c r="K314" s="129"/>
      <c r="L314" s="129"/>
      <c r="M314" s="129"/>
      <c r="N314" s="129"/>
      <c r="O314" s="129"/>
      <c r="P314" s="129"/>
      <c r="Q314" s="79">
        <f t="shared" si="9"/>
        <v>670</v>
      </c>
      <c r="R314" s="151">
        <f t="shared" si="8"/>
        <v>5330</v>
      </c>
      <c r="S314" s="160"/>
      <c r="T314" s="35"/>
      <c r="U314" s="36"/>
      <c r="V314" s="36"/>
      <c r="W314" s="36"/>
      <c r="X314" s="36"/>
      <c r="Y314" s="36"/>
      <c r="Z314" s="36"/>
      <c r="AA314" s="36"/>
      <c r="AB314" s="36"/>
    </row>
    <row r="315" spans="1:28" s="37" customFormat="1" ht="24">
      <c r="A315" s="2" t="s">
        <v>761</v>
      </c>
      <c r="B315" s="30" t="s">
        <v>476</v>
      </c>
      <c r="C315" s="4" t="s">
        <v>559</v>
      </c>
      <c r="D315" s="5" t="s">
        <v>560</v>
      </c>
      <c r="E315" s="11" t="s">
        <v>554</v>
      </c>
      <c r="F315" s="56"/>
      <c r="G315" s="133">
        <v>5600</v>
      </c>
      <c r="H315" s="133"/>
      <c r="I315" s="133"/>
      <c r="J315" s="133"/>
      <c r="K315" s="133"/>
      <c r="L315" s="133"/>
      <c r="M315" s="133"/>
      <c r="N315" s="133"/>
      <c r="O315" s="133"/>
      <c r="P315" s="133"/>
      <c r="Q315" s="79">
        <f t="shared" si="9"/>
        <v>5600</v>
      </c>
      <c r="R315" s="151">
        <f t="shared" si="8"/>
        <v>400</v>
      </c>
      <c r="S315" s="160"/>
      <c r="T315" s="35"/>
      <c r="U315" s="36"/>
      <c r="V315" s="36"/>
      <c r="W315" s="36"/>
      <c r="X315" s="36"/>
      <c r="Y315" s="36"/>
      <c r="Z315" s="36"/>
      <c r="AA315" s="36"/>
      <c r="AB315" s="36"/>
    </row>
    <row r="316" spans="1:28" s="103" customFormat="1" ht="24">
      <c r="A316" s="118" t="s">
        <v>762</v>
      </c>
      <c r="B316" s="96" t="s">
        <v>476</v>
      </c>
      <c r="C316" s="97" t="s">
        <v>561</v>
      </c>
      <c r="D316" s="98" t="s">
        <v>531</v>
      </c>
      <c r="E316" s="99" t="s">
        <v>554</v>
      </c>
      <c r="F316" s="100"/>
      <c r="G316" s="146"/>
      <c r="H316" s="146">
        <v>2800</v>
      </c>
      <c r="I316" s="146">
        <v>2300</v>
      </c>
      <c r="J316" s="146"/>
      <c r="K316" s="146"/>
      <c r="L316" s="146"/>
      <c r="M316" s="146"/>
      <c r="N316" s="146"/>
      <c r="O316" s="146"/>
      <c r="P316" s="146">
        <v>900</v>
      </c>
      <c r="Q316" s="138">
        <f t="shared" si="9"/>
        <v>6000</v>
      </c>
      <c r="R316" s="114">
        <f t="shared" si="8"/>
        <v>0</v>
      </c>
      <c r="S316" s="161"/>
      <c r="T316" s="101"/>
      <c r="U316" s="102"/>
      <c r="V316" s="102"/>
      <c r="W316" s="102"/>
      <c r="X316" s="102"/>
      <c r="Y316" s="102"/>
      <c r="Z316" s="102"/>
      <c r="AA316" s="102"/>
      <c r="AB316" s="102"/>
    </row>
    <row r="317" spans="1:28" s="103" customFormat="1" ht="24">
      <c r="A317" s="118" t="s">
        <v>763</v>
      </c>
      <c r="B317" s="104" t="s">
        <v>476</v>
      </c>
      <c r="C317" s="105" t="s">
        <v>562</v>
      </c>
      <c r="D317" s="106" t="s">
        <v>531</v>
      </c>
      <c r="E317" s="107" t="s">
        <v>554</v>
      </c>
      <c r="F317" s="108"/>
      <c r="G317" s="145">
        <v>1205</v>
      </c>
      <c r="H317" s="145">
        <v>4795</v>
      </c>
      <c r="I317" s="145"/>
      <c r="J317" s="145"/>
      <c r="K317" s="145"/>
      <c r="L317" s="145"/>
      <c r="M317" s="145"/>
      <c r="N317" s="145"/>
      <c r="O317" s="145"/>
      <c r="P317" s="145"/>
      <c r="Q317" s="138">
        <f t="shared" si="9"/>
        <v>6000</v>
      </c>
      <c r="R317" s="114">
        <f t="shared" si="8"/>
        <v>0</v>
      </c>
      <c r="S317" s="161"/>
      <c r="T317" s="101"/>
      <c r="U317" s="102"/>
      <c r="V317" s="102"/>
      <c r="W317" s="102"/>
      <c r="X317" s="102"/>
      <c r="Y317" s="102"/>
      <c r="Z317" s="102"/>
      <c r="AA317" s="102"/>
      <c r="AB317" s="102"/>
    </row>
    <row r="318" spans="1:28" s="37" customFormat="1" ht="24">
      <c r="A318" s="2" t="s">
        <v>764</v>
      </c>
      <c r="B318" s="75" t="s">
        <v>476</v>
      </c>
      <c r="C318" s="8" t="s">
        <v>563</v>
      </c>
      <c r="D318" s="9" t="s">
        <v>531</v>
      </c>
      <c r="E318" s="10" t="s">
        <v>554</v>
      </c>
      <c r="F318" s="58"/>
      <c r="G318" s="136"/>
      <c r="H318" s="136"/>
      <c r="I318" s="136">
        <v>985</v>
      </c>
      <c r="J318" s="136"/>
      <c r="K318" s="136"/>
      <c r="L318" s="136"/>
      <c r="M318" s="136"/>
      <c r="N318" s="136">
        <v>908</v>
      </c>
      <c r="O318" s="136"/>
      <c r="P318" s="136"/>
      <c r="Q318" s="79">
        <f t="shared" si="9"/>
        <v>1893</v>
      </c>
      <c r="R318" s="151">
        <f aca="true" t="shared" si="10" ref="R318:R381">6000-Q318</f>
        <v>4107</v>
      </c>
      <c r="S318" s="160"/>
      <c r="T318" s="35"/>
      <c r="U318" s="36"/>
      <c r="V318" s="36"/>
      <c r="W318" s="36"/>
      <c r="X318" s="36"/>
      <c r="Y318" s="36"/>
      <c r="Z318" s="36"/>
      <c r="AA318" s="36"/>
      <c r="AB318" s="36"/>
    </row>
    <row r="319" spans="1:28" s="37" customFormat="1" ht="24">
      <c r="A319" s="2" t="s">
        <v>765</v>
      </c>
      <c r="B319" s="30" t="s">
        <v>476</v>
      </c>
      <c r="C319" s="4" t="s">
        <v>564</v>
      </c>
      <c r="D319" s="5" t="s">
        <v>489</v>
      </c>
      <c r="E319" s="11" t="s">
        <v>554</v>
      </c>
      <c r="F319" s="56"/>
      <c r="G319" s="133"/>
      <c r="H319" s="133">
        <v>1165</v>
      </c>
      <c r="I319" s="133"/>
      <c r="J319" s="133"/>
      <c r="K319" s="133"/>
      <c r="L319" s="133"/>
      <c r="M319" s="133"/>
      <c r="N319" s="133"/>
      <c r="O319" s="133">
        <v>930</v>
      </c>
      <c r="P319" s="133">
        <v>830</v>
      </c>
      <c r="Q319" s="79">
        <f t="shared" si="9"/>
        <v>2925</v>
      </c>
      <c r="R319" s="151">
        <f t="shared" si="10"/>
        <v>3075</v>
      </c>
      <c r="S319" s="160"/>
      <c r="T319" s="35"/>
      <c r="U319" s="36"/>
      <c r="V319" s="36"/>
      <c r="W319" s="36"/>
      <c r="X319" s="36"/>
      <c r="Y319" s="36"/>
      <c r="Z319" s="36"/>
      <c r="AA319" s="36"/>
      <c r="AB319" s="36"/>
    </row>
    <row r="320" spans="1:28" s="103" customFormat="1" ht="24">
      <c r="A320" s="118" t="s">
        <v>766</v>
      </c>
      <c r="B320" s="96" t="s">
        <v>476</v>
      </c>
      <c r="C320" s="97" t="s">
        <v>565</v>
      </c>
      <c r="D320" s="98" t="s">
        <v>473</v>
      </c>
      <c r="E320" s="174" t="s">
        <v>554</v>
      </c>
      <c r="F320" s="113"/>
      <c r="G320" s="112"/>
      <c r="H320" s="112">
        <v>3866</v>
      </c>
      <c r="I320" s="112">
        <v>2134</v>
      </c>
      <c r="J320" s="112"/>
      <c r="K320" s="112"/>
      <c r="L320" s="112"/>
      <c r="M320" s="112"/>
      <c r="N320" s="112"/>
      <c r="O320" s="112"/>
      <c r="P320" s="112"/>
      <c r="Q320" s="138">
        <f t="shared" si="9"/>
        <v>6000</v>
      </c>
      <c r="R320" s="114">
        <f t="shared" si="10"/>
        <v>0</v>
      </c>
      <c r="S320" s="161"/>
      <c r="T320" s="101"/>
      <c r="U320" s="102"/>
      <c r="V320" s="102"/>
      <c r="W320" s="102"/>
      <c r="X320" s="102"/>
      <c r="Y320" s="102"/>
      <c r="Z320" s="102"/>
      <c r="AA320" s="102"/>
      <c r="AB320" s="102"/>
    </row>
    <row r="321" spans="1:28" s="37" customFormat="1" ht="24">
      <c r="A321" s="2" t="s">
        <v>767</v>
      </c>
      <c r="B321" s="30" t="s">
        <v>476</v>
      </c>
      <c r="C321" s="4" t="s">
        <v>566</v>
      </c>
      <c r="D321" s="5" t="s">
        <v>489</v>
      </c>
      <c r="E321" s="59" t="s">
        <v>554</v>
      </c>
      <c r="F321" s="60">
        <v>600</v>
      </c>
      <c r="G321" s="129"/>
      <c r="H321" s="129">
        <v>750</v>
      </c>
      <c r="I321" s="129">
        <f>1150+1200</f>
        <v>2350</v>
      </c>
      <c r="J321" s="129"/>
      <c r="K321" s="129"/>
      <c r="L321" s="129"/>
      <c r="M321" s="129"/>
      <c r="N321" s="129"/>
      <c r="O321" s="129"/>
      <c r="P321" s="129"/>
      <c r="Q321" s="79">
        <f t="shared" si="9"/>
        <v>3700</v>
      </c>
      <c r="R321" s="151">
        <f t="shared" si="10"/>
        <v>2300</v>
      </c>
      <c r="S321" s="160"/>
      <c r="T321" s="35"/>
      <c r="U321" s="36"/>
      <c r="V321" s="36"/>
      <c r="W321" s="36"/>
      <c r="X321" s="36"/>
      <c r="Y321" s="36"/>
      <c r="Z321" s="36"/>
      <c r="AA321" s="36"/>
      <c r="AB321" s="36"/>
    </row>
    <row r="322" spans="1:28" s="37" customFormat="1" ht="24">
      <c r="A322" s="2" t="s">
        <v>768</v>
      </c>
      <c r="B322" s="30" t="s">
        <v>476</v>
      </c>
      <c r="C322" s="4" t="s">
        <v>567</v>
      </c>
      <c r="D322" s="5" t="s">
        <v>568</v>
      </c>
      <c r="E322" s="59" t="s">
        <v>554</v>
      </c>
      <c r="F322" s="60"/>
      <c r="G322" s="129"/>
      <c r="H322" s="129">
        <v>500</v>
      </c>
      <c r="I322" s="129"/>
      <c r="J322" s="129"/>
      <c r="K322" s="129">
        <v>2670</v>
      </c>
      <c r="L322" s="129"/>
      <c r="M322" s="129"/>
      <c r="N322" s="129"/>
      <c r="O322" s="129"/>
      <c r="P322" s="129">
        <v>1241</v>
      </c>
      <c r="Q322" s="79">
        <f t="shared" si="9"/>
        <v>4411</v>
      </c>
      <c r="R322" s="151">
        <f t="shared" si="10"/>
        <v>1589</v>
      </c>
      <c r="S322" s="160"/>
      <c r="T322" s="35"/>
      <c r="U322" s="36"/>
      <c r="V322" s="36"/>
      <c r="W322" s="36"/>
      <c r="X322" s="36"/>
      <c r="Y322" s="36"/>
      <c r="Z322" s="36"/>
      <c r="AA322" s="36"/>
      <c r="AB322" s="36"/>
    </row>
    <row r="323" spans="1:28" s="103" customFormat="1" ht="24">
      <c r="A323" s="118" t="s">
        <v>769</v>
      </c>
      <c r="B323" s="96" t="s">
        <v>476</v>
      </c>
      <c r="C323" s="97" t="s">
        <v>569</v>
      </c>
      <c r="D323" s="98" t="s">
        <v>568</v>
      </c>
      <c r="E323" s="174" t="s">
        <v>554</v>
      </c>
      <c r="F323" s="113">
        <v>3103</v>
      </c>
      <c r="G323" s="112"/>
      <c r="H323" s="112">
        <v>1969.5</v>
      </c>
      <c r="I323" s="112"/>
      <c r="J323" s="112"/>
      <c r="K323" s="112"/>
      <c r="L323" s="112"/>
      <c r="M323" s="112"/>
      <c r="N323" s="112"/>
      <c r="O323" s="112"/>
      <c r="P323" s="112">
        <v>927.5</v>
      </c>
      <c r="Q323" s="138">
        <f t="shared" si="9"/>
        <v>6000</v>
      </c>
      <c r="R323" s="114">
        <f t="shared" si="10"/>
        <v>0</v>
      </c>
      <c r="S323" s="161"/>
      <c r="T323" s="101"/>
      <c r="U323" s="102"/>
      <c r="V323" s="102"/>
      <c r="W323" s="102"/>
      <c r="X323" s="102"/>
      <c r="Y323" s="102"/>
      <c r="Z323" s="102"/>
      <c r="AA323" s="102"/>
      <c r="AB323" s="102"/>
    </row>
    <row r="324" spans="1:28" s="103" customFormat="1" ht="24">
      <c r="A324" s="118" t="s">
        <v>770</v>
      </c>
      <c r="B324" s="96" t="s">
        <v>471</v>
      </c>
      <c r="C324" s="97" t="s">
        <v>570</v>
      </c>
      <c r="D324" s="98" t="s">
        <v>483</v>
      </c>
      <c r="E324" s="174" t="s">
        <v>571</v>
      </c>
      <c r="F324" s="113"/>
      <c r="G324" s="112">
        <v>600</v>
      </c>
      <c r="H324" s="112">
        <f>460+250+250+2000</f>
        <v>2960</v>
      </c>
      <c r="I324" s="112">
        <v>680</v>
      </c>
      <c r="J324" s="112"/>
      <c r="K324" s="112"/>
      <c r="L324" s="112"/>
      <c r="M324" s="112"/>
      <c r="N324" s="112">
        <f>510+500</f>
        <v>1010</v>
      </c>
      <c r="O324" s="112">
        <v>750</v>
      </c>
      <c r="P324" s="112"/>
      <c r="Q324" s="138">
        <f t="shared" si="9"/>
        <v>6000</v>
      </c>
      <c r="R324" s="114">
        <f t="shared" si="10"/>
        <v>0</v>
      </c>
      <c r="S324" s="161"/>
      <c r="T324" s="101"/>
      <c r="U324" s="102"/>
      <c r="V324" s="102"/>
      <c r="W324" s="102"/>
      <c r="X324" s="102"/>
      <c r="Y324" s="102"/>
      <c r="Z324" s="102"/>
      <c r="AA324" s="102"/>
      <c r="AB324" s="102"/>
    </row>
    <row r="325" spans="1:28" s="103" customFormat="1" ht="24">
      <c r="A325" s="118" t="s">
        <v>771</v>
      </c>
      <c r="B325" s="96" t="s">
        <v>471</v>
      </c>
      <c r="C325" s="97" t="s">
        <v>572</v>
      </c>
      <c r="D325" s="98" t="s">
        <v>489</v>
      </c>
      <c r="E325" s="99" t="s">
        <v>571</v>
      </c>
      <c r="F325" s="100">
        <v>500</v>
      </c>
      <c r="G325" s="146"/>
      <c r="H325" s="146">
        <f>900+2400</f>
        <v>3300</v>
      </c>
      <c r="I325" s="146">
        <v>360</v>
      </c>
      <c r="J325" s="146"/>
      <c r="K325" s="146"/>
      <c r="L325" s="146"/>
      <c r="M325" s="146">
        <v>280</v>
      </c>
      <c r="N325" s="146">
        <f>550+490+520</f>
        <v>1560</v>
      </c>
      <c r="O325" s="146"/>
      <c r="P325" s="146"/>
      <c r="Q325" s="138">
        <f t="shared" si="9"/>
        <v>6000</v>
      </c>
      <c r="R325" s="114">
        <f t="shared" si="10"/>
        <v>0</v>
      </c>
      <c r="S325" s="161"/>
      <c r="T325" s="101"/>
      <c r="U325" s="102"/>
      <c r="V325" s="102"/>
      <c r="W325" s="102"/>
      <c r="X325" s="102"/>
      <c r="Y325" s="102"/>
      <c r="Z325" s="102"/>
      <c r="AA325" s="102"/>
      <c r="AB325" s="102"/>
    </row>
    <row r="326" spans="1:28" s="37" customFormat="1" ht="24">
      <c r="A326" s="2" t="s">
        <v>772</v>
      </c>
      <c r="B326" s="75" t="s">
        <v>481</v>
      </c>
      <c r="C326" s="8" t="s">
        <v>573</v>
      </c>
      <c r="D326" s="9" t="s">
        <v>489</v>
      </c>
      <c r="E326" s="10" t="s">
        <v>571</v>
      </c>
      <c r="F326" s="58"/>
      <c r="G326" s="136">
        <v>2410</v>
      </c>
      <c r="H326" s="136"/>
      <c r="I326" s="136">
        <f>665+665+535</f>
        <v>1865</v>
      </c>
      <c r="J326" s="136"/>
      <c r="K326" s="136"/>
      <c r="L326" s="136"/>
      <c r="M326" s="136"/>
      <c r="N326" s="136"/>
      <c r="O326" s="136"/>
      <c r="P326" s="136"/>
      <c r="Q326" s="79">
        <f t="shared" si="9"/>
        <v>4275</v>
      </c>
      <c r="R326" s="151">
        <f t="shared" si="10"/>
        <v>1725</v>
      </c>
      <c r="S326" s="160"/>
      <c r="T326" s="35"/>
      <c r="U326" s="36"/>
      <c r="V326" s="36"/>
      <c r="W326" s="36"/>
      <c r="X326" s="36"/>
      <c r="Y326" s="36"/>
      <c r="Z326" s="36"/>
      <c r="AA326" s="36"/>
      <c r="AB326" s="36"/>
    </row>
    <row r="327" spans="1:28" s="103" customFormat="1" ht="24">
      <c r="A327" s="118" t="s">
        <v>773</v>
      </c>
      <c r="B327" s="104" t="s">
        <v>481</v>
      </c>
      <c r="C327" s="105" t="s">
        <v>574</v>
      </c>
      <c r="D327" s="106" t="s">
        <v>483</v>
      </c>
      <c r="E327" s="107" t="s">
        <v>571</v>
      </c>
      <c r="F327" s="108"/>
      <c r="G327" s="145">
        <v>715</v>
      </c>
      <c r="H327" s="145"/>
      <c r="I327" s="145"/>
      <c r="J327" s="145"/>
      <c r="K327" s="145">
        <v>1400</v>
      </c>
      <c r="L327" s="145">
        <v>3885</v>
      </c>
      <c r="M327" s="145"/>
      <c r="N327" s="145"/>
      <c r="O327" s="145"/>
      <c r="P327" s="145"/>
      <c r="Q327" s="138">
        <f t="shared" si="9"/>
        <v>6000</v>
      </c>
      <c r="R327" s="114">
        <f t="shared" si="10"/>
        <v>0</v>
      </c>
      <c r="S327" s="161"/>
      <c r="T327" s="101"/>
      <c r="U327" s="102"/>
      <c r="V327" s="102"/>
      <c r="W327" s="102"/>
      <c r="X327" s="102"/>
      <c r="Y327" s="102"/>
      <c r="Z327" s="102"/>
      <c r="AA327" s="102"/>
      <c r="AB327" s="102"/>
    </row>
    <row r="328" spans="1:28" s="103" customFormat="1" ht="24">
      <c r="A328" s="118" t="s">
        <v>774</v>
      </c>
      <c r="B328" s="96" t="s">
        <v>481</v>
      </c>
      <c r="C328" s="97" t="s">
        <v>575</v>
      </c>
      <c r="D328" s="98" t="s">
        <v>483</v>
      </c>
      <c r="E328" s="99" t="s">
        <v>571</v>
      </c>
      <c r="F328" s="100"/>
      <c r="G328" s="146"/>
      <c r="H328" s="146"/>
      <c r="I328" s="146"/>
      <c r="J328" s="146"/>
      <c r="K328" s="146"/>
      <c r="L328" s="146"/>
      <c r="M328" s="146"/>
      <c r="N328" s="146">
        <f>550+700+1310+2270+1170</f>
        <v>6000</v>
      </c>
      <c r="O328" s="146"/>
      <c r="P328" s="146"/>
      <c r="Q328" s="138">
        <f t="shared" si="9"/>
        <v>6000</v>
      </c>
      <c r="R328" s="114">
        <f t="shared" si="10"/>
        <v>0</v>
      </c>
      <c r="S328" s="161"/>
      <c r="T328" s="101"/>
      <c r="U328" s="102"/>
      <c r="V328" s="102"/>
      <c r="W328" s="102"/>
      <c r="X328" s="102"/>
      <c r="Y328" s="102"/>
      <c r="Z328" s="102"/>
      <c r="AA328" s="102"/>
      <c r="AB328" s="102"/>
    </row>
    <row r="329" spans="1:28" s="103" customFormat="1" ht="24">
      <c r="A329" s="118" t="s">
        <v>775</v>
      </c>
      <c r="B329" s="96" t="s">
        <v>481</v>
      </c>
      <c r="C329" s="97" t="s">
        <v>576</v>
      </c>
      <c r="D329" s="98" t="s">
        <v>531</v>
      </c>
      <c r="E329" s="99" t="s">
        <v>571</v>
      </c>
      <c r="F329" s="100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>
        <v>6000</v>
      </c>
      <c r="Q329" s="138">
        <f t="shared" si="9"/>
        <v>6000</v>
      </c>
      <c r="R329" s="114">
        <f t="shared" si="10"/>
        <v>0</v>
      </c>
      <c r="S329" s="161"/>
      <c r="T329" s="101"/>
      <c r="U329" s="102"/>
      <c r="V329" s="102"/>
      <c r="W329" s="102"/>
      <c r="X329" s="102"/>
      <c r="Y329" s="102"/>
      <c r="Z329" s="102"/>
      <c r="AA329" s="102"/>
      <c r="AB329" s="102"/>
    </row>
    <row r="330" spans="1:28" s="103" customFormat="1" ht="24">
      <c r="A330" s="118" t="s">
        <v>776</v>
      </c>
      <c r="B330" s="96" t="s">
        <v>481</v>
      </c>
      <c r="C330" s="97" t="s">
        <v>577</v>
      </c>
      <c r="D330" s="98" t="s">
        <v>531</v>
      </c>
      <c r="E330" s="99" t="s">
        <v>571</v>
      </c>
      <c r="F330" s="100"/>
      <c r="G330" s="146"/>
      <c r="H330" s="146">
        <v>1200</v>
      </c>
      <c r="I330" s="146"/>
      <c r="J330" s="146"/>
      <c r="K330" s="146"/>
      <c r="L330" s="146"/>
      <c r="M330" s="146"/>
      <c r="N330" s="146">
        <v>4800</v>
      </c>
      <c r="O330" s="146"/>
      <c r="P330" s="146"/>
      <c r="Q330" s="138">
        <f t="shared" si="9"/>
        <v>6000</v>
      </c>
      <c r="R330" s="114">
        <f t="shared" si="10"/>
        <v>0</v>
      </c>
      <c r="S330" s="161"/>
      <c r="T330" s="101"/>
      <c r="U330" s="102"/>
      <c r="V330" s="102"/>
      <c r="W330" s="102"/>
      <c r="X330" s="102"/>
      <c r="Y330" s="102"/>
      <c r="Z330" s="102"/>
      <c r="AA330" s="102"/>
      <c r="AB330" s="102"/>
    </row>
    <row r="331" spans="1:28" s="37" customFormat="1" ht="24">
      <c r="A331" s="2" t="s">
        <v>777</v>
      </c>
      <c r="B331" s="30" t="s">
        <v>481</v>
      </c>
      <c r="C331" s="4" t="s">
        <v>578</v>
      </c>
      <c r="D331" s="5" t="s">
        <v>483</v>
      </c>
      <c r="E331" s="11" t="s">
        <v>571</v>
      </c>
      <c r="F331" s="56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79">
        <f t="shared" si="9"/>
        <v>0</v>
      </c>
      <c r="R331" s="151">
        <f t="shared" si="10"/>
        <v>6000</v>
      </c>
      <c r="S331" s="160"/>
      <c r="T331" s="35"/>
      <c r="U331" s="36"/>
      <c r="V331" s="36"/>
      <c r="W331" s="36"/>
      <c r="X331" s="36"/>
      <c r="Y331" s="36"/>
      <c r="Z331" s="36"/>
      <c r="AA331" s="36"/>
      <c r="AB331" s="36"/>
    </row>
    <row r="332" spans="1:28" s="37" customFormat="1" ht="24">
      <c r="A332" s="2" t="s">
        <v>778</v>
      </c>
      <c r="B332" s="30" t="s">
        <v>471</v>
      </c>
      <c r="C332" s="4" t="s">
        <v>579</v>
      </c>
      <c r="D332" s="5" t="s">
        <v>489</v>
      </c>
      <c r="E332" s="11" t="s">
        <v>571</v>
      </c>
      <c r="F332" s="56">
        <v>1635</v>
      </c>
      <c r="G332" s="133">
        <f>295+550</f>
        <v>845</v>
      </c>
      <c r="H332" s="133">
        <f>341+390</f>
        <v>731</v>
      </c>
      <c r="I332" s="133">
        <f>550+1315</f>
        <v>1865</v>
      </c>
      <c r="J332" s="133"/>
      <c r="K332" s="133">
        <v>400</v>
      </c>
      <c r="L332" s="133"/>
      <c r="M332" s="133"/>
      <c r="N332" s="133"/>
      <c r="O332" s="133"/>
      <c r="P332" s="133"/>
      <c r="Q332" s="79">
        <f t="shared" si="9"/>
        <v>5476</v>
      </c>
      <c r="R332" s="151">
        <f t="shared" si="10"/>
        <v>524</v>
      </c>
      <c r="S332" s="160"/>
      <c r="T332" s="35"/>
      <c r="U332" s="36"/>
      <c r="V332" s="36"/>
      <c r="W332" s="36"/>
      <c r="X332" s="36"/>
      <c r="Y332" s="36"/>
      <c r="Z332" s="36"/>
      <c r="AA332" s="36"/>
      <c r="AB332" s="36"/>
    </row>
    <row r="333" spans="1:28" s="37" customFormat="1" ht="24">
      <c r="A333" s="2" t="s">
        <v>779</v>
      </c>
      <c r="B333" s="30" t="s">
        <v>471</v>
      </c>
      <c r="C333" s="4" t="s">
        <v>580</v>
      </c>
      <c r="D333" s="5" t="s">
        <v>489</v>
      </c>
      <c r="E333" s="10" t="s">
        <v>581</v>
      </c>
      <c r="F333" s="58"/>
      <c r="G333" s="136">
        <v>1100</v>
      </c>
      <c r="H333" s="136">
        <v>1100</v>
      </c>
      <c r="I333" s="136"/>
      <c r="J333" s="136"/>
      <c r="K333" s="136"/>
      <c r="L333" s="136"/>
      <c r="M333" s="136"/>
      <c r="N333" s="136">
        <v>380</v>
      </c>
      <c r="O333" s="136"/>
      <c r="P333" s="136">
        <v>380</v>
      </c>
      <c r="Q333" s="79">
        <f t="shared" si="9"/>
        <v>2960</v>
      </c>
      <c r="R333" s="151">
        <f t="shared" si="10"/>
        <v>3040</v>
      </c>
      <c r="S333" s="160"/>
      <c r="T333" s="35"/>
      <c r="U333" s="36"/>
      <c r="V333" s="36"/>
      <c r="W333" s="36"/>
      <c r="X333" s="36"/>
      <c r="Y333" s="36"/>
      <c r="Z333" s="36"/>
      <c r="AA333" s="36"/>
      <c r="AB333" s="36"/>
    </row>
    <row r="334" spans="1:28" s="37" customFormat="1" ht="24">
      <c r="A334" s="2" t="s">
        <v>780</v>
      </c>
      <c r="B334" s="30" t="s">
        <v>476</v>
      </c>
      <c r="C334" s="4" t="s">
        <v>582</v>
      </c>
      <c r="D334" s="5" t="s">
        <v>531</v>
      </c>
      <c r="E334" s="10" t="s">
        <v>581</v>
      </c>
      <c r="F334" s="58"/>
      <c r="G334" s="136"/>
      <c r="H334" s="136"/>
      <c r="I334" s="136">
        <v>980</v>
      </c>
      <c r="J334" s="136"/>
      <c r="K334" s="136"/>
      <c r="L334" s="136"/>
      <c r="M334" s="136"/>
      <c r="N334" s="136">
        <v>1030</v>
      </c>
      <c r="O334" s="136">
        <v>1180</v>
      </c>
      <c r="P334" s="136"/>
      <c r="Q334" s="79">
        <f t="shared" si="9"/>
        <v>3190</v>
      </c>
      <c r="R334" s="151">
        <f t="shared" si="10"/>
        <v>2810</v>
      </c>
      <c r="S334" s="160"/>
      <c r="T334" s="35"/>
      <c r="U334" s="36"/>
      <c r="V334" s="36"/>
      <c r="W334" s="36"/>
      <c r="X334" s="36"/>
      <c r="Y334" s="36"/>
      <c r="Z334" s="36"/>
      <c r="AA334" s="36"/>
      <c r="AB334" s="36"/>
    </row>
    <row r="335" spans="1:28" s="103" customFormat="1" ht="24">
      <c r="A335" s="118" t="s">
        <v>781</v>
      </c>
      <c r="B335" s="96" t="s">
        <v>476</v>
      </c>
      <c r="C335" s="97" t="s">
        <v>583</v>
      </c>
      <c r="D335" s="98" t="s">
        <v>531</v>
      </c>
      <c r="E335" s="107" t="s">
        <v>581</v>
      </c>
      <c r="F335" s="108"/>
      <c r="G335" s="145">
        <f>1250+3000</f>
        <v>4250</v>
      </c>
      <c r="H335" s="145">
        <v>1750</v>
      </c>
      <c r="I335" s="145"/>
      <c r="J335" s="145"/>
      <c r="K335" s="145"/>
      <c r="L335" s="145"/>
      <c r="M335" s="145"/>
      <c r="N335" s="145"/>
      <c r="O335" s="145"/>
      <c r="P335" s="145"/>
      <c r="Q335" s="138">
        <f t="shared" si="9"/>
        <v>6000</v>
      </c>
      <c r="R335" s="114">
        <f t="shared" si="10"/>
        <v>0</v>
      </c>
      <c r="S335" s="161"/>
      <c r="T335" s="101"/>
      <c r="U335" s="102"/>
      <c r="V335" s="102"/>
      <c r="W335" s="102"/>
      <c r="X335" s="102"/>
      <c r="Y335" s="102"/>
      <c r="Z335" s="102"/>
      <c r="AA335" s="102"/>
      <c r="AB335" s="102"/>
    </row>
    <row r="336" spans="1:28" s="37" customFormat="1" ht="24">
      <c r="A336" s="2" t="s">
        <v>782</v>
      </c>
      <c r="B336" s="75" t="s">
        <v>481</v>
      </c>
      <c r="C336" s="8" t="s">
        <v>584</v>
      </c>
      <c r="D336" s="9" t="s">
        <v>531</v>
      </c>
      <c r="E336" s="10" t="s">
        <v>581</v>
      </c>
      <c r="F336" s="58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>
        <v>700</v>
      </c>
      <c r="Q336" s="79">
        <f t="shared" si="9"/>
        <v>700</v>
      </c>
      <c r="R336" s="151">
        <f t="shared" si="10"/>
        <v>5300</v>
      </c>
      <c r="S336" s="160"/>
      <c r="T336" s="35"/>
      <c r="U336" s="36"/>
      <c r="V336" s="36"/>
      <c r="W336" s="36"/>
      <c r="X336" s="36"/>
      <c r="Y336" s="36"/>
      <c r="Z336" s="36"/>
      <c r="AA336" s="36"/>
      <c r="AB336" s="36"/>
    </row>
    <row r="337" spans="1:28" s="37" customFormat="1" ht="24">
      <c r="A337" s="2" t="s">
        <v>783</v>
      </c>
      <c r="B337" s="30" t="s">
        <v>481</v>
      </c>
      <c r="C337" s="4" t="s">
        <v>585</v>
      </c>
      <c r="D337" s="5" t="s">
        <v>531</v>
      </c>
      <c r="E337" s="10" t="s">
        <v>581</v>
      </c>
      <c r="F337" s="58"/>
      <c r="G337" s="136"/>
      <c r="H337" s="136">
        <v>500</v>
      </c>
      <c r="I337" s="136"/>
      <c r="J337" s="136"/>
      <c r="K337" s="136"/>
      <c r="L337" s="136"/>
      <c r="M337" s="136"/>
      <c r="N337" s="136"/>
      <c r="O337" s="136"/>
      <c r="P337" s="136">
        <v>400</v>
      </c>
      <c r="Q337" s="79">
        <f t="shared" si="9"/>
        <v>900</v>
      </c>
      <c r="R337" s="151">
        <f t="shared" si="10"/>
        <v>5100</v>
      </c>
      <c r="S337" s="160"/>
      <c r="T337" s="35"/>
      <c r="U337" s="36"/>
      <c r="V337" s="36"/>
      <c r="W337" s="36"/>
      <c r="X337" s="36"/>
      <c r="Y337" s="36"/>
      <c r="Z337" s="36"/>
      <c r="AA337" s="36"/>
      <c r="AB337" s="36"/>
    </row>
    <row r="338" spans="1:20" s="36" customFormat="1" ht="24">
      <c r="A338" s="2" t="s">
        <v>784</v>
      </c>
      <c r="B338" s="76" t="s">
        <v>471</v>
      </c>
      <c r="C338" s="33" t="s">
        <v>586</v>
      </c>
      <c r="D338" s="12" t="s">
        <v>531</v>
      </c>
      <c r="E338" s="13" t="s">
        <v>587</v>
      </c>
      <c r="F338" s="61"/>
      <c r="G338" s="143"/>
      <c r="H338" s="143"/>
      <c r="I338" s="143"/>
      <c r="J338" s="143"/>
      <c r="K338" s="143">
        <v>2400</v>
      </c>
      <c r="L338" s="143"/>
      <c r="M338" s="143"/>
      <c r="N338" s="143"/>
      <c r="O338" s="143"/>
      <c r="P338" s="143"/>
      <c r="Q338" s="79">
        <f t="shared" si="9"/>
        <v>2400</v>
      </c>
      <c r="R338" s="151">
        <f t="shared" si="10"/>
        <v>3600</v>
      </c>
      <c r="S338" s="160"/>
      <c r="T338" s="35"/>
    </row>
    <row r="339" spans="1:29" s="254" customFormat="1" ht="24">
      <c r="A339" s="118" t="s">
        <v>785</v>
      </c>
      <c r="B339" s="219" t="s">
        <v>481</v>
      </c>
      <c r="C339" s="220" t="s">
        <v>588</v>
      </c>
      <c r="D339" s="221" t="s">
        <v>489</v>
      </c>
      <c r="E339" s="222" t="s">
        <v>587</v>
      </c>
      <c r="F339" s="223"/>
      <c r="G339" s="224">
        <f>500+1470</f>
        <v>1970</v>
      </c>
      <c r="H339" s="224"/>
      <c r="I339" s="224"/>
      <c r="J339" s="224">
        <f>500+1580</f>
        <v>2080</v>
      </c>
      <c r="K339" s="224"/>
      <c r="L339" s="224"/>
      <c r="M339" s="224"/>
      <c r="N339" s="224"/>
      <c r="O339" s="224"/>
      <c r="P339" s="224">
        <f>1535+415</f>
        <v>1950</v>
      </c>
      <c r="Q339" s="138">
        <f t="shared" si="9"/>
        <v>6000</v>
      </c>
      <c r="R339" s="114">
        <f t="shared" si="10"/>
        <v>0</v>
      </c>
      <c r="S339" s="161"/>
      <c r="T339" s="101"/>
      <c r="U339" s="102"/>
      <c r="V339" s="102"/>
      <c r="W339" s="102"/>
      <c r="X339" s="102"/>
      <c r="Y339" s="102"/>
      <c r="Z339" s="102"/>
      <c r="AA339" s="102"/>
      <c r="AB339" s="102"/>
      <c r="AC339" s="253"/>
    </row>
    <row r="340" spans="1:20" s="36" customFormat="1" ht="24">
      <c r="A340" s="2" t="s">
        <v>786</v>
      </c>
      <c r="B340" s="30" t="s">
        <v>481</v>
      </c>
      <c r="C340" s="4" t="s">
        <v>589</v>
      </c>
      <c r="D340" s="5" t="s">
        <v>531</v>
      </c>
      <c r="E340" s="11" t="s">
        <v>587</v>
      </c>
      <c r="F340" s="56"/>
      <c r="G340" s="133"/>
      <c r="H340" s="133"/>
      <c r="I340" s="133"/>
      <c r="J340" s="133">
        <v>900</v>
      </c>
      <c r="K340" s="133"/>
      <c r="L340" s="133"/>
      <c r="M340" s="133"/>
      <c r="N340" s="133">
        <f>900+900</f>
        <v>1800</v>
      </c>
      <c r="O340" s="133"/>
      <c r="P340" s="133"/>
      <c r="Q340" s="79">
        <f t="shared" si="9"/>
        <v>2700</v>
      </c>
      <c r="R340" s="151">
        <f t="shared" si="10"/>
        <v>3300</v>
      </c>
      <c r="S340" s="160"/>
      <c r="T340" s="35"/>
    </row>
    <row r="341" spans="1:28" s="37" customFormat="1" ht="24">
      <c r="A341" s="2" t="s">
        <v>787</v>
      </c>
      <c r="B341" s="75" t="s">
        <v>471</v>
      </c>
      <c r="C341" s="8" t="s">
        <v>590</v>
      </c>
      <c r="D341" s="9" t="s">
        <v>489</v>
      </c>
      <c r="E341" s="10" t="s">
        <v>7</v>
      </c>
      <c r="F341" s="58"/>
      <c r="G341" s="136"/>
      <c r="H341" s="136"/>
      <c r="I341" s="136"/>
      <c r="J341" s="136"/>
      <c r="K341" s="136"/>
      <c r="L341" s="136">
        <v>1450</v>
      </c>
      <c r="M341" s="136"/>
      <c r="N341" s="136"/>
      <c r="O341" s="136">
        <v>733</v>
      </c>
      <c r="P341" s="136">
        <f>1200+595+500+390+730</f>
        <v>3415</v>
      </c>
      <c r="Q341" s="79">
        <f t="shared" si="9"/>
        <v>5598</v>
      </c>
      <c r="R341" s="151">
        <f t="shared" si="10"/>
        <v>402</v>
      </c>
      <c r="S341" s="160"/>
      <c r="T341" s="35"/>
      <c r="U341" s="36"/>
      <c r="V341" s="36"/>
      <c r="W341" s="36"/>
      <c r="X341" s="36"/>
      <c r="Y341" s="36"/>
      <c r="Z341" s="36"/>
      <c r="AA341" s="36"/>
      <c r="AB341" s="36"/>
    </row>
    <row r="342" spans="1:28" s="37" customFormat="1" ht="24">
      <c r="A342" s="2" t="s">
        <v>788</v>
      </c>
      <c r="B342" s="30" t="s">
        <v>471</v>
      </c>
      <c r="C342" s="4" t="s">
        <v>591</v>
      </c>
      <c r="D342" s="5" t="s">
        <v>489</v>
      </c>
      <c r="E342" s="6" t="s">
        <v>7</v>
      </c>
      <c r="F342" s="60">
        <v>522</v>
      </c>
      <c r="G342" s="129"/>
      <c r="H342" s="129"/>
      <c r="I342" s="129"/>
      <c r="J342" s="129"/>
      <c r="K342" s="129"/>
      <c r="L342" s="129">
        <v>600</v>
      </c>
      <c r="M342" s="129"/>
      <c r="N342" s="129"/>
      <c r="O342" s="129"/>
      <c r="P342" s="129"/>
      <c r="Q342" s="79">
        <f t="shared" si="9"/>
        <v>1122</v>
      </c>
      <c r="R342" s="151">
        <f t="shared" si="10"/>
        <v>4878</v>
      </c>
      <c r="S342" s="160"/>
      <c r="T342" s="35"/>
      <c r="U342" s="36"/>
      <c r="V342" s="36"/>
      <c r="W342" s="36"/>
      <c r="X342" s="36"/>
      <c r="Y342" s="36"/>
      <c r="Z342" s="36"/>
      <c r="AA342" s="36"/>
      <c r="AB342" s="36"/>
    </row>
    <row r="343" spans="1:28" s="37" customFormat="1" ht="24">
      <c r="A343" s="2" t="s">
        <v>789</v>
      </c>
      <c r="B343" s="30" t="s">
        <v>476</v>
      </c>
      <c r="C343" s="4" t="s">
        <v>592</v>
      </c>
      <c r="D343" s="5" t="s">
        <v>489</v>
      </c>
      <c r="E343" s="11" t="s">
        <v>7</v>
      </c>
      <c r="F343" s="56"/>
      <c r="G343" s="133"/>
      <c r="H343" s="133"/>
      <c r="I343" s="133"/>
      <c r="J343" s="133"/>
      <c r="K343" s="133"/>
      <c r="L343" s="133"/>
      <c r="M343" s="133">
        <v>1500</v>
      </c>
      <c r="N343" s="133"/>
      <c r="O343" s="133"/>
      <c r="P343" s="133">
        <v>1510</v>
      </c>
      <c r="Q343" s="79">
        <f t="shared" si="9"/>
        <v>3010</v>
      </c>
      <c r="R343" s="151">
        <f t="shared" si="10"/>
        <v>2990</v>
      </c>
      <c r="S343" s="160"/>
      <c r="T343" s="35"/>
      <c r="U343" s="36"/>
      <c r="V343" s="36"/>
      <c r="W343" s="36"/>
      <c r="X343" s="36"/>
      <c r="Y343" s="36"/>
      <c r="Z343" s="36"/>
      <c r="AA343" s="36"/>
      <c r="AB343" s="36"/>
    </row>
    <row r="344" spans="1:28" s="37" customFormat="1" ht="24">
      <c r="A344" s="2" t="s">
        <v>790</v>
      </c>
      <c r="B344" s="30" t="s">
        <v>481</v>
      </c>
      <c r="C344" s="4" t="s">
        <v>593</v>
      </c>
      <c r="D344" s="5" t="s">
        <v>483</v>
      </c>
      <c r="E344" s="11" t="s">
        <v>7</v>
      </c>
      <c r="F344" s="56"/>
      <c r="G344" s="133"/>
      <c r="H344" s="133">
        <v>1160</v>
      </c>
      <c r="I344" s="133"/>
      <c r="J344" s="133">
        <v>595</v>
      </c>
      <c r="K344" s="133"/>
      <c r="L344" s="133"/>
      <c r="M344" s="133"/>
      <c r="N344" s="133"/>
      <c r="O344" s="133">
        <v>4190</v>
      </c>
      <c r="P344" s="133"/>
      <c r="Q344" s="79">
        <f t="shared" si="9"/>
        <v>5945</v>
      </c>
      <c r="R344" s="151">
        <f t="shared" si="10"/>
        <v>55</v>
      </c>
      <c r="S344" s="160"/>
      <c r="T344" s="35"/>
      <c r="U344" s="36"/>
      <c r="V344" s="36"/>
      <c r="W344" s="36"/>
      <c r="X344" s="36"/>
      <c r="Y344" s="36"/>
      <c r="Z344" s="36"/>
      <c r="AA344" s="36"/>
      <c r="AB344" s="36"/>
    </row>
    <row r="345" spans="1:28" s="37" customFormat="1" ht="24">
      <c r="A345" s="2" t="s">
        <v>791</v>
      </c>
      <c r="B345" s="30" t="s">
        <v>476</v>
      </c>
      <c r="C345" s="4" t="s">
        <v>594</v>
      </c>
      <c r="D345" s="5" t="s">
        <v>489</v>
      </c>
      <c r="E345" s="11" t="s">
        <v>58</v>
      </c>
      <c r="F345" s="56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79">
        <f t="shared" si="9"/>
        <v>0</v>
      </c>
      <c r="R345" s="151">
        <f t="shared" si="10"/>
        <v>6000</v>
      </c>
      <c r="S345" s="160"/>
      <c r="T345" s="35"/>
      <c r="U345" s="36"/>
      <c r="V345" s="36"/>
      <c r="W345" s="36"/>
      <c r="X345" s="36"/>
      <c r="Y345" s="36"/>
      <c r="Z345" s="36"/>
      <c r="AA345" s="36"/>
      <c r="AB345" s="36"/>
    </row>
    <row r="346" spans="1:28" s="37" customFormat="1" ht="24">
      <c r="A346" s="2" t="s">
        <v>792</v>
      </c>
      <c r="B346" s="30" t="s">
        <v>476</v>
      </c>
      <c r="C346" s="4" t="s">
        <v>595</v>
      </c>
      <c r="D346" s="5" t="s">
        <v>489</v>
      </c>
      <c r="E346" s="59" t="s">
        <v>58</v>
      </c>
      <c r="F346" s="60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79">
        <f t="shared" si="9"/>
        <v>0</v>
      </c>
      <c r="R346" s="151">
        <f t="shared" si="10"/>
        <v>6000</v>
      </c>
      <c r="S346" s="160"/>
      <c r="T346" s="35"/>
      <c r="U346" s="36"/>
      <c r="V346" s="36"/>
      <c r="W346" s="36"/>
      <c r="X346" s="36"/>
      <c r="Y346" s="36"/>
      <c r="Z346" s="36"/>
      <c r="AA346" s="36"/>
      <c r="AB346" s="36"/>
    </row>
    <row r="347" spans="1:28" s="37" customFormat="1" ht="24">
      <c r="A347" s="2" t="s">
        <v>793</v>
      </c>
      <c r="B347" s="75" t="s">
        <v>476</v>
      </c>
      <c r="C347" s="8" t="s">
        <v>596</v>
      </c>
      <c r="D347" s="9" t="s">
        <v>489</v>
      </c>
      <c r="E347" s="10" t="s">
        <v>58</v>
      </c>
      <c r="F347" s="58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79">
        <f aca="true" t="shared" si="11" ref="Q347:Q410">SUM(F347:P347)</f>
        <v>0</v>
      </c>
      <c r="R347" s="151">
        <f t="shared" si="10"/>
        <v>6000</v>
      </c>
      <c r="S347" s="160"/>
      <c r="T347" s="35"/>
      <c r="U347" s="36"/>
      <c r="V347" s="36"/>
      <c r="W347" s="36"/>
      <c r="X347" s="36"/>
      <c r="Y347" s="36"/>
      <c r="Z347" s="36"/>
      <c r="AA347" s="36"/>
      <c r="AB347" s="36"/>
    </row>
    <row r="348" spans="1:28" s="37" customFormat="1" ht="24">
      <c r="A348" s="2" t="s">
        <v>794</v>
      </c>
      <c r="B348" s="30" t="s">
        <v>476</v>
      </c>
      <c r="C348" s="4" t="s">
        <v>597</v>
      </c>
      <c r="D348" s="5" t="s">
        <v>489</v>
      </c>
      <c r="E348" s="6" t="s">
        <v>598</v>
      </c>
      <c r="F348" s="60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79">
        <f t="shared" si="11"/>
        <v>0</v>
      </c>
      <c r="R348" s="151">
        <f t="shared" si="10"/>
        <v>6000</v>
      </c>
      <c r="S348" s="160"/>
      <c r="T348" s="35"/>
      <c r="U348" s="36"/>
      <c r="V348" s="36"/>
      <c r="W348" s="36"/>
      <c r="X348" s="36"/>
      <c r="Y348" s="36"/>
      <c r="Z348" s="36"/>
      <c r="AA348" s="36"/>
      <c r="AB348" s="36"/>
    </row>
    <row r="349" spans="1:28" s="37" customFormat="1" ht="24">
      <c r="A349" s="2" t="s">
        <v>795</v>
      </c>
      <c r="B349" s="30" t="s">
        <v>476</v>
      </c>
      <c r="C349" s="4" t="s">
        <v>599</v>
      </c>
      <c r="D349" s="5" t="s">
        <v>600</v>
      </c>
      <c r="E349" s="6" t="s">
        <v>598</v>
      </c>
      <c r="F349" s="60"/>
      <c r="G349" s="129"/>
      <c r="H349" s="129"/>
      <c r="I349" s="129"/>
      <c r="J349" s="129"/>
      <c r="K349" s="129"/>
      <c r="L349" s="129"/>
      <c r="M349" s="129">
        <v>700</v>
      </c>
      <c r="N349" s="129"/>
      <c r="O349" s="129"/>
      <c r="P349" s="129"/>
      <c r="Q349" s="79">
        <f t="shared" si="11"/>
        <v>700</v>
      </c>
      <c r="R349" s="151">
        <f t="shared" si="10"/>
        <v>5300</v>
      </c>
      <c r="S349" s="160"/>
      <c r="T349" s="35"/>
      <c r="U349" s="36"/>
      <c r="V349" s="36"/>
      <c r="W349" s="36"/>
      <c r="X349" s="36"/>
      <c r="Y349" s="36"/>
      <c r="Z349" s="36"/>
      <c r="AA349" s="36"/>
      <c r="AB349" s="36"/>
    </row>
    <row r="350" spans="1:28" s="37" customFormat="1" ht="24">
      <c r="A350" s="2" t="s">
        <v>796</v>
      </c>
      <c r="B350" s="30" t="s">
        <v>471</v>
      </c>
      <c r="C350" s="4" t="s">
        <v>601</v>
      </c>
      <c r="D350" s="5" t="s">
        <v>602</v>
      </c>
      <c r="E350" s="11" t="s">
        <v>111</v>
      </c>
      <c r="F350" s="56"/>
      <c r="G350" s="133"/>
      <c r="H350" s="133"/>
      <c r="I350" s="133"/>
      <c r="J350" s="133"/>
      <c r="K350" s="133"/>
      <c r="L350" s="133"/>
      <c r="M350" s="133"/>
      <c r="N350" s="133"/>
      <c r="O350" s="133">
        <v>2290</v>
      </c>
      <c r="P350" s="133"/>
      <c r="Q350" s="79">
        <f t="shared" si="11"/>
        <v>2290</v>
      </c>
      <c r="R350" s="151">
        <f t="shared" si="10"/>
        <v>3710</v>
      </c>
      <c r="S350" s="160"/>
      <c r="T350" s="35"/>
      <c r="U350" s="36"/>
      <c r="V350" s="36"/>
      <c r="W350" s="36"/>
      <c r="X350" s="36"/>
      <c r="Y350" s="36"/>
      <c r="Z350" s="36"/>
      <c r="AA350" s="36"/>
      <c r="AB350" s="36"/>
    </row>
    <row r="351" spans="1:28" s="37" customFormat="1" ht="24">
      <c r="A351" s="2" t="s">
        <v>797</v>
      </c>
      <c r="B351" s="30" t="s">
        <v>476</v>
      </c>
      <c r="C351" s="4" t="s">
        <v>603</v>
      </c>
      <c r="D351" s="5" t="s">
        <v>489</v>
      </c>
      <c r="E351" s="59" t="s">
        <v>111</v>
      </c>
      <c r="F351" s="60"/>
      <c r="G351" s="129"/>
      <c r="H351" s="129"/>
      <c r="I351" s="129"/>
      <c r="J351" s="129"/>
      <c r="K351" s="129"/>
      <c r="L351" s="129"/>
      <c r="M351" s="129"/>
      <c r="N351" s="129">
        <v>500</v>
      </c>
      <c r="O351" s="129"/>
      <c r="P351" s="129"/>
      <c r="Q351" s="79">
        <f t="shared" si="11"/>
        <v>500</v>
      </c>
      <c r="R351" s="151">
        <f t="shared" si="10"/>
        <v>5500</v>
      </c>
      <c r="S351" s="160"/>
      <c r="T351" s="35"/>
      <c r="U351" s="36"/>
      <c r="V351" s="36"/>
      <c r="W351" s="36"/>
      <c r="X351" s="36"/>
      <c r="Y351" s="36"/>
      <c r="Z351" s="36"/>
      <c r="AA351" s="36"/>
      <c r="AB351" s="36"/>
    </row>
    <row r="352" spans="1:28" s="37" customFormat="1" ht="24">
      <c r="A352" s="2" t="s">
        <v>798</v>
      </c>
      <c r="B352" s="30" t="s">
        <v>476</v>
      </c>
      <c r="C352" s="4" t="s">
        <v>604</v>
      </c>
      <c r="D352" s="5" t="s">
        <v>489</v>
      </c>
      <c r="E352" s="11" t="s">
        <v>111</v>
      </c>
      <c r="F352" s="56">
        <v>725</v>
      </c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79">
        <f t="shared" si="11"/>
        <v>725</v>
      </c>
      <c r="R352" s="151">
        <f t="shared" si="10"/>
        <v>5275</v>
      </c>
      <c r="S352" s="160"/>
      <c r="T352" s="35"/>
      <c r="U352" s="36"/>
      <c r="V352" s="36"/>
      <c r="W352" s="36"/>
      <c r="X352" s="36"/>
      <c r="Y352" s="36"/>
      <c r="Z352" s="36"/>
      <c r="AA352" s="36"/>
      <c r="AB352" s="36"/>
    </row>
    <row r="353" spans="1:28" s="37" customFormat="1" ht="24">
      <c r="A353" s="2" t="s">
        <v>799</v>
      </c>
      <c r="B353" s="30" t="s">
        <v>481</v>
      </c>
      <c r="C353" s="4" t="s">
        <v>605</v>
      </c>
      <c r="D353" s="5" t="s">
        <v>602</v>
      </c>
      <c r="E353" s="11" t="s">
        <v>111</v>
      </c>
      <c r="F353" s="56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79">
        <f t="shared" si="11"/>
        <v>0</v>
      </c>
      <c r="R353" s="151">
        <f t="shared" si="10"/>
        <v>6000</v>
      </c>
      <c r="S353" s="160"/>
      <c r="T353" s="35"/>
      <c r="U353" s="36"/>
      <c r="V353" s="36"/>
      <c r="W353" s="36"/>
      <c r="X353" s="36"/>
      <c r="Y353" s="36"/>
      <c r="Z353" s="36"/>
      <c r="AA353" s="36"/>
      <c r="AB353" s="36"/>
    </row>
    <row r="354" spans="1:28" s="37" customFormat="1" ht="24">
      <c r="A354" s="2" t="s">
        <v>800</v>
      </c>
      <c r="B354" s="30" t="s">
        <v>481</v>
      </c>
      <c r="C354" s="4" t="s">
        <v>606</v>
      </c>
      <c r="D354" s="5" t="s">
        <v>489</v>
      </c>
      <c r="E354" s="11" t="s">
        <v>111</v>
      </c>
      <c r="F354" s="56"/>
      <c r="G354" s="133"/>
      <c r="H354" s="133"/>
      <c r="I354" s="133"/>
      <c r="J354" s="133"/>
      <c r="K354" s="133"/>
      <c r="L354" s="133">
        <v>1470</v>
      </c>
      <c r="M354" s="133"/>
      <c r="N354" s="133"/>
      <c r="O354" s="133">
        <v>900</v>
      </c>
      <c r="P354" s="133">
        <f>1335+670</f>
        <v>2005</v>
      </c>
      <c r="Q354" s="79">
        <f t="shared" si="11"/>
        <v>4375</v>
      </c>
      <c r="R354" s="151">
        <f t="shared" si="10"/>
        <v>1625</v>
      </c>
      <c r="S354" s="160"/>
      <c r="T354" s="35"/>
      <c r="U354" s="36"/>
      <c r="V354" s="36"/>
      <c r="W354" s="36"/>
      <c r="X354" s="36"/>
      <c r="Y354" s="36"/>
      <c r="Z354" s="36"/>
      <c r="AA354" s="36"/>
      <c r="AB354" s="36"/>
    </row>
    <row r="355" spans="1:28" s="37" customFormat="1" ht="24">
      <c r="A355" s="2" t="s">
        <v>801</v>
      </c>
      <c r="B355" s="30" t="s">
        <v>476</v>
      </c>
      <c r="C355" s="4" t="s">
        <v>607</v>
      </c>
      <c r="D355" s="5" t="s">
        <v>608</v>
      </c>
      <c r="E355" s="11" t="s">
        <v>111</v>
      </c>
      <c r="F355" s="56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79">
        <f t="shared" si="11"/>
        <v>0</v>
      </c>
      <c r="R355" s="151">
        <f t="shared" si="10"/>
        <v>6000</v>
      </c>
      <c r="S355" s="160"/>
      <c r="T355" s="35"/>
      <c r="U355" s="36"/>
      <c r="V355" s="36"/>
      <c r="W355" s="36"/>
      <c r="X355" s="36"/>
      <c r="Y355" s="36"/>
      <c r="Z355" s="36"/>
      <c r="AA355" s="36"/>
      <c r="AB355" s="36"/>
    </row>
    <row r="356" spans="1:28" s="37" customFormat="1" ht="24">
      <c r="A356" s="2" t="s">
        <v>802</v>
      </c>
      <c r="B356" s="30" t="s">
        <v>476</v>
      </c>
      <c r="C356" s="4" t="s">
        <v>609</v>
      </c>
      <c r="D356" s="5" t="s">
        <v>602</v>
      </c>
      <c r="E356" s="11" t="s">
        <v>111</v>
      </c>
      <c r="F356" s="56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79">
        <f t="shared" si="11"/>
        <v>0</v>
      </c>
      <c r="R356" s="151">
        <f t="shared" si="10"/>
        <v>6000</v>
      </c>
      <c r="S356" s="160"/>
      <c r="T356" s="35"/>
      <c r="U356" s="36"/>
      <c r="V356" s="36"/>
      <c r="W356" s="36"/>
      <c r="X356" s="36"/>
      <c r="Y356" s="36"/>
      <c r="Z356" s="36"/>
      <c r="AA356" s="36"/>
      <c r="AB356" s="36"/>
    </row>
    <row r="357" spans="1:28" s="37" customFormat="1" ht="24">
      <c r="A357" s="2" t="s">
        <v>803</v>
      </c>
      <c r="B357" s="30" t="s">
        <v>481</v>
      </c>
      <c r="C357" s="4" t="s">
        <v>610</v>
      </c>
      <c r="D357" s="5" t="s">
        <v>611</v>
      </c>
      <c r="E357" s="11" t="s">
        <v>111</v>
      </c>
      <c r="F357" s="56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79">
        <f t="shared" si="11"/>
        <v>0</v>
      </c>
      <c r="R357" s="151">
        <f t="shared" si="10"/>
        <v>6000</v>
      </c>
      <c r="S357" s="160"/>
      <c r="T357" s="35"/>
      <c r="U357" s="36"/>
      <c r="V357" s="36"/>
      <c r="W357" s="36"/>
      <c r="X357" s="36"/>
      <c r="Y357" s="36"/>
      <c r="Z357" s="36"/>
      <c r="AA357" s="36"/>
      <c r="AB357" s="36"/>
    </row>
    <row r="358" spans="1:28" s="103" customFormat="1" ht="24">
      <c r="A358" s="118" t="s">
        <v>804</v>
      </c>
      <c r="B358" s="96" t="s">
        <v>481</v>
      </c>
      <c r="C358" s="97" t="s">
        <v>612</v>
      </c>
      <c r="D358" s="98" t="s">
        <v>489</v>
      </c>
      <c r="E358" s="99" t="s">
        <v>111</v>
      </c>
      <c r="F358" s="100"/>
      <c r="G358" s="146"/>
      <c r="H358" s="146"/>
      <c r="I358" s="146">
        <v>1000</v>
      </c>
      <c r="J358" s="146">
        <v>2485</v>
      </c>
      <c r="K358" s="146"/>
      <c r="L358" s="146">
        <f>964+1551</f>
        <v>2515</v>
      </c>
      <c r="M358" s="146"/>
      <c r="N358" s="146"/>
      <c r="O358" s="146"/>
      <c r="P358" s="146"/>
      <c r="Q358" s="138">
        <f t="shared" si="11"/>
        <v>6000</v>
      </c>
      <c r="R358" s="114">
        <f t="shared" si="10"/>
        <v>0</v>
      </c>
      <c r="S358" s="161"/>
      <c r="T358" s="101"/>
      <c r="U358" s="102"/>
      <c r="V358" s="102"/>
      <c r="W358" s="102"/>
      <c r="X358" s="102"/>
      <c r="Y358" s="102"/>
      <c r="Z358" s="102"/>
      <c r="AA358" s="102"/>
      <c r="AB358" s="102"/>
    </row>
    <row r="359" spans="1:28" s="37" customFormat="1" ht="24">
      <c r="A359" s="2" t="s">
        <v>805</v>
      </c>
      <c r="B359" s="30" t="s">
        <v>481</v>
      </c>
      <c r="C359" s="4" t="s">
        <v>613</v>
      </c>
      <c r="D359" s="5" t="s">
        <v>483</v>
      </c>
      <c r="E359" s="11" t="s">
        <v>111</v>
      </c>
      <c r="F359" s="56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79">
        <f t="shared" si="11"/>
        <v>0</v>
      </c>
      <c r="R359" s="151">
        <f t="shared" si="10"/>
        <v>6000</v>
      </c>
      <c r="S359" s="160"/>
      <c r="T359" s="35"/>
      <c r="U359" s="36"/>
      <c r="V359" s="36"/>
      <c r="W359" s="36"/>
      <c r="X359" s="36"/>
      <c r="Y359" s="36"/>
      <c r="Z359" s="36"/>
      <c r="AA359" s="36"/>
      <c r="AB359" s="36"/>
    </row>
    <row r="360" spans="1:28" s="103" customFormat="1" ht="24">
      <c r="A360" s="118" t="s">
        <v>806</v>
      </c>
      <c r="B360" s="96" t="s">
        <v>476</v>
      </c>
      <c r="C360" s="97" t="s">
        <v>614</v>
      </c>
      <c r="D360" s="98" t="s">
        <v>489</v>
      </c>
      <c r="E360" s="99" t="s">
        <v>138</v>
      </c>
      <c r="F360" s="100"/>
      <c r="G360" s="146"/>
      <c r="H360" s="146">
        <v>680</v>
      </c>
      <c r="I360" s="146"/>
      <c r="J360" s="146"/>
      <c r="K360" s="146">
        <v>5320</v>
      </c>
      <c r="L360" s="146"/>
      <c r="M360" s="146"/>
      <c r="N360" s="146"/>
      <c r="O360" s="146"/>
      <c r="P360" s="146"/>
      <c r="Q360" s="138">
        <f t="shared" si="11"/>
        <v>6000</v>
      </c>
      <c r="R360" s="114">
        <f t="shared" si="10"/>
        <v>0</v>
      </c>
      <c r="S360" s="161" t="s">
        <v>885</v>
      </c>
      <c r="T360" s="101"/>
      <c r="U360" s="102"/>
      <c r="V360" s="102"/>
      <c r="W360" s="102"/>
      <c r="X360" s="102"/>
      <c r="Y360" s="102"/>
      <c r="Z360" s="102"/>
      <c r="AA360" s="102"/>
      <c r="AB360" s="102"/>
    </row>
    <row r="361" spans="1:28" s="37" customFormat="1" ht="24">
      <c r="A361" s="2" t="s">
        <v>807</v>
      </c>
      <c r="B361" s="30" t="s">
        <v>476</v>
      </c>
      <c r="C361" s="4" t="s">
        <v>615</v>
      </c>
      <c r="D361" s="5" t="s">
        <v>489</v>
      </c>
      <c r="E361" s="6" t="s">
        <v>138</v>
      </c>
      <c r="F361" s="60"/>
      <c r="G361" s="129">
        <v>1865</v>
      </c>
      <c r="H361" s="129"/>
      <c r="I361" s="129"/>
      <c r="J361" s="129"/>
      <c r="K361" s="129"/>
      <c r="L361" s="129">
        <v>3185</v>
      </c>
      <c r="M361" s="129"/>
      <c r="N361" s="129"/>
      <c r="O361" s="129"/>
      <c r="P361" s="129"/>
      <c r="Q361" s="79">
        <f t="shared" si="11"/>
        <v>5050</v>
      </c>
      <c r="R361" s="151">
        <f t="shared" si="10"/>
        <v>950</v>
      </c>
      <c r="S361" s="160"/>
      <c r="T361" s="35"/>
      <c r="U361" s="36"/>
      <c r="V361" s="36"/>
      <c r="W361" s="36"/>
      <c r="X361" s="36"/>
      <c r="Y361" s="36"/>
      <c r="Z361" s="36"/>
      <c r="AA361" s="36"/>
      <c r="AB361" s="36"/>
    </row>
    <row r="362" spans="1:28" s="37" customFormat="1" ht="24">
      <c r="A362" s="2" t="s">
        <v>808</v>
      </c>
      <c r="B362" s="30" t="s">
        <v>476</v>
      </c>
      <c r="C362" s="4" t="s">
        <v>616</v>
      </c>
      <c r="D362" s="5" t="s">
        <v>489</v>
      </c>
      <c r="E362" s="59" t="s">
        <v>138</v>
      </c>
      <c r="F362" s="60"/>
      <c r="G362" s="129"/>
      <c r="H362" s="129"/>
      <c r="I362" s="129"/>
      <c r="J362" s="129"/>
      <c r="K362" s="129"/>
      <c r="L362" s="129">
        <v>700</v>
      </c>
      <c r="M362" s="129"/>
      <c r="N362" s="129"/>
      <c r="O362" s="129"/>
      <c r="P362" s="129"/>
      <c r="Q362" s="79">
        <f t="shared" si="11"/>
        <v>700</v>
      </c>
      <c r="R362" s="151">
        <f t="shared" si="10"/>
        <v>5300</v>
      </c>
      <c r="S362" s="160"/>
      <c r="T362" s="35"/>
      <c r="U362" s="36"/>
      <c r="V362" s="36"/>
      <c r="W362" s="36"/>
      <c r="X362" s="36"/>
      <c r="Y362" s="36"/>
      <c r="Z362" s="36"/>
      <c r="AA362" s="36"/>
      <c r="AB362" s="36"/>
    </row>
    <row r="363" spans="1:28" s="103" customFormat="1" ht="24">
      <c r="A363" s="118" t="s">
        <v>809</v>
      </c>
      <c r="B363" s="96" t="s">
        <v>476</v>
      </c>
      <c r="C363" s="97" t="s">
        <v>617</v>
      </c>
      <c r="D363" s="98" t="s">
        <v>531</v>
      </c>
      <c r="E363" s="99" t="s">
        <v>138</v>
      </c>
      <c r="F363" s="100"/>
      <c r="G363" s="146"/>
      <c r="H363" s="146">
        <v>4490</v>
      </c>
      <c r="I363" s="146"/>
      <c r="J363" s="146"/>
      <c r="K363" s="146">
        <f>1200+310</f>
        <v>1510</v>
      </c>
      <c r="L363" s="146"/>
      <c r="M363" s="146"/>
      <c r="N363" s="146"/>
      <c r="O363" s="146"/>
      <c r="P363" s="146"/>
      <c r="Q363" s="138">
        <f t="shared" si="11"/>
        <v>6000</v>
      </c>
      <c r="R363" s="114">
        <f t="shared" si="10"/>
        <v>0</v>
      </c>
      <c r="S363" s="161"/>
      <c r="T363" s="101"/>
      <c r="U363" s="102"/>
      <c r="V363" s="102"/>
      <c r="W363" s="102"/>
      <c r="X363" s="102"/>
      <c r="Y363" s="102"/>
      <c r="Z363" s="102"/>
      <c r="AA363" s="102"/>
      <c r="AB363" s="102"/>
    </row>
    <row r="364" spans="1:28" s="37" customFormat="1" ht="24">
      <c r="A364" s="2" t="s">
        <v>810</v>
      </c>
      <c r="B364" s="75" t="s">
        <v>481</v>
      </c>
      <c r="C364" s="8" t="s">
        <v>618</v>
      </c>
      <c r="D364" s="9" t="s">
        <v>483</v>
      </c>
      <c r="E364" s="10" t="s">
        <v>138</v>
      </c>
      <c r="F364" s="58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79">
        <f t="shared" si="11"/>
        <v>0</v>
      </c>
      <c r="R364" s="151">
        <f t="shared" si="10"/>
        <v>6000</v>
      </c>
      <c r="S364" s="160"/>
      <c r="T364" s="35"/>
      <c r="U364" s="36"/>
      <c r="V364" s="36"/>
      <c r="W364" s="36"/>
      <c r="X364" s="36"/>
      <c r="Y364" s="36"/>
      <c r="Z364" s="36"/>
      <c r="AA364" s="36"/>
      <c r="AB364" s="36"/>
    </row>
    <row r="365" spans="1:28" s="37" customFormat="1" ht="24">
      <c r="A365" s="2" t="s">
        <v>811</v>
      </c>
      <c r="B365" s="75" t="s">
        <v>481</v>
      </c>
      <c r="C365" s="8" t="s">
        <v>619</v>
      </c>
      <c r="D365" s="9" t="s">
        <v>494</v>
      </c>
      <c r="E365" s="10" t="s">
        <v>138</v>
      </c>
      <c r="F365" s="58"/>
      <c r="G365" s="136">
        <v>1485</v>
      </c>
      <c r="H365" s="136"/>
      <c r="I365" s="136"/>
      <c r="J365" s="136"/>
      <c r="K365" s="136"/>
      <c r="L365" s="136"/>
      <c r="M365" s="136"/>
      <c r="N365" s="136"/>
      <c r="O365" s="136"/>
      <c r="P365" s="136"/>
      <c r="Q365" s="79">
        <f t="shared" si="11"/>
        <v>1485</v>
      </c>
      <c r="R365" s="151">
        <f t="shared" si="10"/>
        <v>4515</v>
      </c>
      <c r="S365" s="160"/>
      <c r="T365" s="35"/>
      <c r="U365" s="36"/>
      <c r="V365" s="36"/>
      <c r="W365" s="36"/>
      <c r="X365" s="36"/>
      <c r="Y365" s="36"/>
      <c r="Z365" s="36"/>
      <c r="AA365" s="36"/>
      <c r="AB365" s="36"/>
    </row>
    <row r="366" spans="1:28" s="37" customFormat="1" ht="24">
      <c r="A366" s="2" t="s">
        <v>812</v>
      </c>
      <c r="B366" s="75" t="s">
        <v>481</v>
      </c>
      <c r="C366" s="8" t="s">
        <v>620</v>
      </c>
      <c r="D366" s="9" t="s">
        <v>531</v>
      </c>
      <c r="E366" s="10" t="s">
        <v>138</v>
      </c>
      <c r="F366" s="58"/>
      <c r="G366" s="136"/>
      <c r="H366" s="136"/>
      <c r="I366" s="136"/>
      <c r="J366" s="136"/>
      <c r="K366" s="136"/>
      <c r="L366" s="136">
        <v>2580</v>
      </c>
      <c r="M366" s="136">
        <v>1994</v>
      </c>
      <c r="N366" s="136">
        <v>400</v>
      </c>
      <c r="O366" s="136"/>
      <c r="P366" s="136"/>
      <c r="Q366" s="79">
        <f t="shared" si="11"/>
        <v>4974</v>
      </c>
      <c r="R366" s="151">
        <f t="shared" si="10"/>
        <v>1026</v>
      </c>
      <c r="S366" s="160"/>
      <c r="T366" s="35"/>
      <c r="U366" s="36"/>
      <c r="V366" s="36"/>
      <c r="W366" s="36"/>
      <c r="X366" s="36"/>
      <c r="Y366" s="36"/>
      <c r="Z366" s="36"/>
      <c r="AA366" s="36"/>
      <c r="AB366" s="36"/>
    </row>
    <row r="367" spans="1:28" s="103" customFormat="1" ht="24">
      <c r="A367" s="118" t="s">
        <v>813</v>
      </c>
      <c r="B367" s="104" t="s">
        <v>481</v>
      </c>
      <c r="C367" s="105" t="s">
        <v>621</v>
      </c>
      <c r="D367" s="106" t="s">
        <v>483</v>
      </c>
      <c r="E367" s="107" t="s">
        <v>138</v>
      </c>
      <c r="F367" s="108"/>
      <c r="G367" s="145"/>
      <c r="H367" s="145"/>
      <c r="I367" s="145"/>
      <c r="J367" s="145"/>
      <c r="K367" s="145"/>
      <c r="L367" s="145"/>
      <c r="M367" s="145">
        <v>6000</v>
      </c>
      <c r="N367" s="145"/>
      <c r="O367" s="145"/>
      <c r="P367" s="145"/>
      <c r="Q367" s="138">
        <f t="shared" si="11"/>
        <v>6000</v>
      </c>
      <c r="R367" s="114">
        <f t="shared" si="10"/>
        <v>0</v>
      </c>
      <c r="S367" s="161"/>
      <c r="T367" s="101"/>
      <c r="U367" s="102"/>
      <c r="V367" s="102"/>
      <c r="W367" s="102"/>
      <c r="X367" s="102"/>
      <c r="Y367" s="102"/>
      <c r="Z367" s="102"/>
      <c r="AA367" s="102"/>
      <c r="AB367" s="102"/>
    </row>
    <row r="368" spans="1:28" s="37" customFormat="1" ht="24">
      <c r="A368" s="2" t="s">
        <v>814</v>
      </c>
      <c r="B368" s="30" t="s">
        <v>476</v>
      </c>
      <c r="C368" s="4" t="s">
        <v>622</v>
      </c>
      <c r="D368" s="5" t="s">
        <v>489</v>
      </c>
      <c r="E368" s="11" t="s">
        <v>193</v>
      </c>
      <c r="F368" s="56"/>
      <c r="G368" s="133"/>
      <c r="H368" s="133"/>
      <c r="I368" s="133"/>
      <c r="J368" s="133"/>
      <c r="K368" s="133"/>
      <c r="L368" s="133"/>
      <c r="M368" s="133"/>
      <c r="N368" s="133">
        <v>440</v>
      </c>
      <c r="O368" s="133"/>
      <c r="P368" s="133"/>
      <c r="Q368" s="79">
        <f t="shared" si="11"/>
        <v>440</v>
      </c>
      <c r="R368" s="151">
        <f t="shared" si="10"/>
        <v>5560</v>
      </c>
      <c r="S368" s="160"/>
      <c r="T368" s="35"/>
      <c r="U368" s="36"/>
      <c r="V368" s="36"/>
      <c r="W368" s="36"/>
      <c r="X368" s="36"/>
      <c r="Y368" s="36"/>
      <c r="Z368" s="36"/>
      <c r="AA368" s="36"/>
      <c r="AB368" s="36"/>
    </row>
    <row r="369" spans="1:28" s="57" customFormat="1" ht="24">
      <c r="A369" s="2" t="s">
        <v>815</v>
      </c>
      <c r="B369" s="30" t="s">
        <v>476</v>
      </c>
      <c r="C369" s="4" t="s">
        <v>623</v>
      </c>
      <c r="D369" s="5" t="s">
        <v>489</v>
      </c>
      <c r="E369" s="11" t="s">
        <v>193</v>
      </c>
      <c r="F369" s="56">
        <f>870+600</f>
        <v>1470</v>
      </c>
      <c r="G369" s="133">
        <f>2050+450</f>
        <v>2500</v>
      </c>
      <c r="H369" s="133"/>
      <c r="I369" s="133"/>
      <c r="J369" s="133"/>
      <c r="K369" s="133"/>
      <c r="L369" s="133"/>
      <c r="M369" s="133"/>
      <c r="N369" s="133"/>
      <c r="O369" s="133"/>
      <c r="P369" s="133"/>
      <c r="Q369" s="79">
        <f t="shared" si="11"/>
        <v>3970</v>
      </c>
      <c r="R369" s="151">
        <f t="shared" si="10"/>
        <v>2030</v>
      </c>
      <c r="S369" s="160"/>
      <c r="T369" s="52"/>
      <c r="U369" s="53"/>
      <c r="V369" s="53"/>
      <c r="W369" s="53"/>
      <c r="X369" s="53"/>
      <c r="Y369" s="53"/>
      <c r="Z369" s="53"/>
      <c r="AA369" s="53"/>
      <c r="AB369" s="53"/>
    </row>
    <row r="370" spans="1:28" s="37" customFormat="1" ht="24">
      <c r="A370" s="2" t="s">
        <v>816</v>
      </c>
      <c r="B370" s="75" t="s">
        <v>481</v>
      </c>
      <c r="C370" s="8" t="s">
        <v>624</v>
      </c>
      <c r="D370" s="9" t="s">
        <v>509</v>
      </c>
      <c r="E370" s="10" t="s">
        <v>193</v>
      </c>
      <c r="F370" s="58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79">
        <f t="shared" si="11"/>
        <v>0</v>
      </c>
      <c r="R370" s="151">
        <f t="shared" si="10"/>
        <v>6000</v>
      </c>
      <c r="S370" s="160"/>
      <c r="T370" s="35"/>
      <c r="U370" s="36"/>
      <c r="V370" s="36"/>
      <c r="W370" s="36"/>
      <c r="X370" s="36"/>
      <c r="Y370" s="36"/>
      <c r="Z370" s="36"/>
      <c r="AA370" s="36"/>
      <c r="AB370" s="36"/>
    </row>
    <row r="371" spans="1:28" s="103" customFormat="1" ht="24">
      <c r="A371" s="118" t="s">
        <v>817</v>
      </c>
      <c r="B371" s="96" t="s">
        <v>481</v>
      </c>
      <c r="C371" s="97" t="s">
        <v>625</v>
      </c>
      <c r="D371" s="98" t="s">
        <v>489</v>
      </c>
      <c r="E371" s="99" t="s">
        <v>193</v>
      </c>
      <c r="F371" s="100">
        <v>6000</v>
      </c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38">
        <f t="shared" si="11"/>
        <v>6000</v>
      </c>
      <c r="R371" s="114">
        <f t="shared" si="10"/>
        <v>0</v>
      </c>
      <c r="S371" s="161"/>
      <c r="T371" s="101"/>
      <c r="U371" s="102"/>
      <c r="V371" s="102"/>
      <c r="W371" s="102"/>
      <c r="X371" s="102"/>
      <c r="Y371" s="102"/>
      <c r="Z371" s="102"/>
      <c r="AA371" s="102"/>
      <c r="AB371" s="102"/>
    </row>
    <row r="372" spans="1:28" s="37" customFormat="1" ht="24">
      <c r="A372" s="2" t="s">
        <v>818</v>
      </c>
      <c r="B372" s="30" t="s">
        <v>476</v>
      </c>
      <c r="C372" s="4" t="s">
        <v>626</v>
      </c>
      <c r="D372" s="5" t="s">
        <v>489</v>
      </c>
      <c r="E372" s="11" t="s">
        <v>193</v>
      </c>
      <c r="F372" s="56">
        <v>2430</v>
      </c>
      <c r="G372" s="133"/>
      <c r="H372" s="133"/>
      <c r="I372" s="133"/>
      <c r="J372" s="133">
        <v>2000</v>
      </c>
      <c r="K372" s="133"/>
      <c r="L372" s="133">
        <v>620</v>
      </c>
      <c r="M372" s="133"/>
      <c r="N372" s="133"/>
      <c r="O372" s="133"/>
      <c r="P372" s="133">
        <v>700</v>
      </c>
      <c r="Q372" s="79">
        <f t="shared" si="11"/>
        <v>5750</v>
      </c>
      <c r="R372" s="151">
        <f t="shared" si="10"/>
        <v>250</v>
      </c>
      <c r="S372" s="160"/>
      <c r="T372" s="35"/>
      <c r="U372" s="36"/>
      <c r="V372" s="36"/>
      <c r="W372" s="36"/>
      <c r="X372" s="36"/>
      <c r="Y372" s="36"/>
      <c r="Z372" s="36"/>
      <c r="AA372" s="36"/>
      <c r="AB372" s="36"/>
    </row>
    <row r="373" spans="1:28" s="37" customFormat="1" ht="24">
      <c r="A373" s="2" t="s">
        <v>819</v>
      </c>
      <c r="B373" s="30" t="s">
        <v>476</v>
      </c>
      <c r="C373" s="4" t="s">
        <v>627</v>
      </c>
      <c r="D373" s="5" t="s">
        <v>489</v>
      </c>
      <c r="E373" s="11" t="s">
        <v>193</v>
      </c>
      <c r="F373" s="56"/>
      <c r="G373" s="133"/>
      <c r="H373" s="133"/>
      <c r="I373" s="133"/>
      <c r="J373" s="133"/>
      <c r="K373" s="133">
        <v>4334</v>
      </c>
      <c r="L373" s="133"/>
      <c r="M373" s="133">
        <v>920</v>
      </c>
      <c r="N373" s="133"/>
      <c r="O373" s="133"/>
      <c r="P373" s="133"/>
      <c r="Q373" s="79">
        <f t="shared" si="11"/>
        <v>5254</v>
      </c>
      <c r="R373" s="151">
        <f t="shared" si="10"/>
        <v>746</v>
      </c>
      <c r="S373" s="160"/>
      <c r="T373" s="35"/>
      <c r="U373" s="36"/>
      <c r="V373" s="36"/>
      <c r="W373" s="36"/>
      <c r="X373" s="36"/>
      <c r="Y373" s="36"/>
      <c r="Z373" s="36"/>
      <c r="AA373" s="36"/>
      <c r="AB373" s="36"/>
    </row>
    <row r="374" spans="1:28" s="37" customFormat="1" ht="24">
      <c r="A374" s="2" t="s">
        <v>820</v>
      </c>
      <c r="B374" s="30" t="s">
        <v>471</v>
      </c>
      <c r="C374" s="4" t="s">
        <v>628</v>
      </c>
      <c r="D374" s="5" t="s">
        <v>489</v>
      </c>
      <c r="E374" s="11" t="s">
        <v>284</v>
      </c>
      <c r="F374" s="56"/>
      <c r="G374" s="133">
        <v>250</v>
      </c>
      <c r="H374" s="133"/>
      <c r="I374" s="133"/>
      <c r="J374" s="133"/>
      <c r="K374" s="133"/>
      <c r="L374" s="133"/>
      <c r="M374" s="133">
        <v>250</v>
      </c>
      <c r="N374" s="133"/>
      <c r="O374" s="133"/>
      <c r="P374" s="133"/>
      <c r="Q374" s="79">
        <f t="shared" si="11"/>
        <v>500</v>
      </c>
      <c r="R374" s="151">
        <f t="shared" si="10"/>
        <v>5500</v>
      </c>
      <c r="S374" s="160"/>
      <c r="T374" s="35"/>
      <c r="U374" s="36"/>
      <c r="V374" s="36"/>
      <c r="W374" s="36"/>
      <c r="X374" s="36"/>
      <c r="Y374" s="36"/>
      <c r="Z374" s="36"/>
      <c r="AA374" s="36"/>
      <c r="AB374" s="36"/>
    </row>
    <row r="375" spans="1:28" s="103" customFormat="1" ht="24">
      <c r="A375" s="118" t="s">
        <v>821</v>
      </c>
      <c r="B375" s="96" t="s">
        <v>476</v>
      </c>
      <c r="C375" s="97" t="s">
        <v>629</v>
      </c>
      <c r="D375" s="98" t="s">
        <v>489</v>
      </c>
      <c r="E375" s="99" t="s">
        <v>284</v>
      </c>
      <c r="F375" s="100"/>
      <c r="G375" s="146">
        <f>5500+220</f>
        <v>5720</v>
      </c>
      <c r="H375" s="146"/>
      <c r="I375" s="146"/>
      <c r="J375" s="146"/>
      <c r="K375" s="146"/>
      <c r="L375" s="146"/>
      <c r="M375" s="146"/>
      <c r="N375" s="146"/>
      <c r="O375" s="146"/>
      <c r="P375" s="146">
        <v>280</v>
      </c>
      <c r="Q375" s="138">
        <f t="shared" si="11"/>
        <v>6000</v>
      </c>
      <c r="R375" s="114">
        <f t="shared" si="10"/>
        <v>0</v>
      </c>
      <c r="S375" s="161"/>
      <c r="T375" s="101"/>
      <c r="U375" s="102"/>
      <c r="V375" s="102"/>
      <c r="W375" s="102"/>
      <c r="X375" s="102"/>
      <c r="Y375" s="102"/>
      <c r="Z375" s="102"/>
      <c r="AA375" s="102"/>
      <c r="AB375" s="102"/>
    </row>
    <row r="376" spans="1:28" s="103" customFormat="1" ht="24">
      <c r="A376" s="118" t="s">
        <v>822</v>
      </c>
      <c r="B376" s="96" t="s">
        <v>476</v>
      </c>
      <c r="C376" s="97" t="s">
        <v>630</v>
      </c>
      <c r="D376" s="98" t="s">
        <v>531</v>
      </c>
      <c r="E376" s="194" t="s">
        <v>284</v>
      </c>
      <c r="F376" s="113">
        <v>1695</v>
      </c>
      <c r="G376" s="112">
        <v>1170</v>
      </c>
      <c r="H376" s="112">
        <v>1860</v>
      </c>
      <c r="I376" s="112"/>
      <c r="J376" s="112"/>
      <c r="K376" s="112">
        <v>1275</v>
      </c>
      <c r="L376" s="112"/>
      <c r="M376" s="112"/>
      <c r="N376" s="112"/>
      <c r="O376" s="112"/>
      <c r="P376" s="112"/>
      <c r="Q376" s="138">
        <f t="shared" si="11"/>
        <v>6000</v>
      </c>
      <c r="R376" s="114">
        <f t="shared" si="10"/>
        <v>0</v>
      </c>
      <c r="S376" s="161"/>
      <c r="T376" s="101"/>
      <c r="U376" s="102"/>
      <c r="V376" s="102"/>
      <c r="W376" s="102"/>
      <c r="X376" s="102"/>
      <c r="Y376" s="102"/>
      <c r="Z376" s="102"/>
      <c r="AA376" s="102"/>
      <c r="AB376" s="102"/>
    </row>
    <row r="377" spans="1:28" s="103" customFormat="1" ht="24">
      <c r="A377" s="118" t="s">
        <v>823</v>
      </c>
      <c r="B377" s="96" t="s">
        <v>476</v>
      </c>
      <c r="C377" s="97" t="s">
        <v>631</v>
      </c>
      <c r="D377" s="98" t="s">
        <v>483</v>
      </c>
      <c r="E377" s="99" t="s">
        <v>284</v>
      </c>
      <c r="F377" s="100"/>
      <c r="G377" s="146"/>
      <c r="H377" s="146">
        <v>4718</v>
      </c>
      <c r="I377" s="146"/>
      <c r="J377" s="146">
        <v>300</v>
      </c>
      <c r="K377" s="146">
        <f>845+137</f>
        <v>982</v>
      </c>
      <c r="L377" s="146"/>
      <c r="M377" s="146"/>
      <c r="N377" s="146"/>
      <c r="O377" s="146"/>
      <c r="P377" s="146"/>
      <c r="Q377" s="138">
        <f t="shared" si="11"/>
        <v>6000</v>
      </c>
      <c r="R377" s="114">
        <f t="shared" si="10"/>
        <v>0</v>
      </c>
      <c r="S377" s="161"/>
      <c r="T377" s="101"/>
      <c r="U377" s="102"/>
      <c r="V377" s="102"/>
      <c r="W377" s="102"/>
      <c r="X377" s="102"/>
      <c r="Y377" s="102"/>
      <c r="Z377" s="102"/>
      <c r="AA377" s="102"/>
      <c r="AB377" s="102"/>
    </row>
    <row r="378" spans="1:28" s="37" customFormat="1" ht="24">
      <c r="A378" s="2" t="s">
        <v>824</v>
      </c>
      <c r="B378" s="75" t="s">
        <v>476</v>
      </c>
      <c r="C378" s="8" t="s">
        <v>632</v>
      </c>
      <c r="D378" s="9" t="s">
        <v>489</v>
      </c>
      <c r="E378" s="10" t="s">
        <v>284</v>
      </c>
      <c r="F378" s="58">
        <f>500+1800</f>
        <v>2300</v>
      </c>
      <c r="G378" s="136"/>
      <c r="H378" s="136"/>
      <c r="I378" s="136"/>
      <c r="J378" s="136"/>
      <c r="K378" s="136">
        <v>350</v>
      </c>
      <c r="L378" s="136"/>
      <c r="M378" s="136"/>
      <c r="N378" s="136">
        <v>350</v>
      </c>
      <c r="O378" s="136"/>
      <c r="P378" s="136"/>
      <c r="Q378" s="79">
        <f t="shared" si="11"/>
        <v>3000</v>
      </c>
      <c r="R378" s="151">
        <f t="shared" si="10"/>
        <v>3000</v>
      </c>
      <c r="S378" s="160"/>
      <c r="T378" s="35"/>
      <c r="U378" s="36"/>
      <c r="V378" s="36"/>
      <c r="W378" s="36"/>
      <c r="X378" s="36"/>
      <c r="Y378" s="36"/>
      <c r="Z378" s="36"/>
      <c r="AA378" s="36"/>
      <c r="AB378" s="36"/>
    </row>
    <row r="379" spans="1:28" s="37" customFormat="1" ht="24">
      <c r="A379" s="2" t="s">
        <v>825</v>
      </c>
      <c r="B379" s="30" t="s">
        <v>633</v>
      </c>
      <c r="C379" s="4" t="s">
        <v>634</v>
      </c>
      <c r="D379" s="5" t="s">
        <v>509</v>
      </c>
      <c r="E379" s="59" t="s">
        <v>284</v>
      </c>
      <c r="F379" s="60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79">
        <f t="shared" si="11"/>
        <v>0</v>
      </c>
      <c r="R379" s="151">
        <f t="shared" si="10"/>
        <v>6000</v>
      </c>
      <c r="S379" s="160"/>
      <c r="T379" s="35"/>
      <c r="U379" s="36"/>
      <c r="V379" s="36"/>
      <c r="W379" s="36"/>
      <c r="X379" s="36"/>
      <c r="Y379" s="36"/>
      <c r="Z379" s="36"/>
      <c r="AA379" s="36"/>
      <c r="AB379" s="36"/>
    </row>
    <row r="380" spans="1:28" s="37" customFormat="1" ht="24">
      <c r="A380" s="2" t="s">
        <v>826</v>
      </c>
      <c r="B380" s="30" t="s">
        <v>476</v>
      </c>
      <c r="C380" s="4" t="s">
        <v>635</v>
      </c>
      <c r="D380" s="5" t="s">
        <v>489</v>
      </c>
      <c r="E380" s="59" t="s">
        <v>284</v>
      </c>
      <c r="F380" s="60"/>
      <c r="G380" s="129">
        <v>490</v>
      </c>
      <c r="H380" s="129"/>
      <c r="I380" s="129"/>
      <c r="J380" s="129"/>
      <c r="K380" s="129">
        <f>740+764</f>
        <v>1504</v>
      </c>
      <c r="L380" s="129"/>
      <c r="M380" s="129"/>
      <c r="N380" s="129">
        <v>690</v>
      </c>
      <c r="O380" s="129"/>
      <c r="P380" s="129">
        <v>540</v>
      </c>
      <c r="Q380" s="79">
        <f t="shared" si="11"/>
        <v>3224</v>
      </c>
      <c r="R380" s="151">
        <f t="shared" si="10"/>
        <v>2776</v>
      </c>
      <c r="S380" s="160"/>
      <c r="T380" s="35"/>
      <c r="U380" s="36"/>
      <c r="V380" s="36"/>
      <c r="W380" s="36"/>
      <c r="X380" s="36"/>
      <c r="Y380" s="36"/>
      <c r="Z380" s="36"/>
      <c r="AA380" s="36"/>
      <c r="AB380" s="36"/>
    </row>
    <row r="381" spans="1:28" s="37" customFormat="1" ht="24">
      <c r="A381" s="2" t="s">
        <v>827</v>
      </c>
      <c r="B381" s="30" t="s">
        <v>471</v>
      </c>
      <c r="C381" s="4" t="s">
        <v>636</v>
      </c>
      <c r="D381" s="5" t="s">
        <v>489</v>
      </c>
      <c r="E381" s="59" t="s">
        <v>347</v>
      </c>
      <c r="F381" s="60"/>
      <c r="G381" s="129">
        <f>1120+400</f>
        <v>1520</v>
      </c>
      <c r="H381" s="129">
        <v>400</v>
      </c>
      <c r="I381" s="129"/>
      <c r="J381" s="129">
        <f>750+760</f>
        <v>1510</v>
      </c>
      <c r="K381" s="129"/>
      <c r="L381" s="129"/>
      <c r="M381" s="129"/>
      <c r="N381" s="129">
        <v>780</v>
      </c>
      <c r="O381" s="129"/>
      <c r="P381" s="129">
        <v>800</v>
      </c>
      <c r="Q381" s="79">
        <f t="shared" si="11"/>
        <v>5010</v>
      </c>
      <c r="R381" s="151">
        <f t="shared" si="10"/>
        <v>990</v>
      </c>
      <c r="S381" s="160"/>
      <c r="T381" s="35"/>
      <c r="U381" s="36"/>
      <c r="V381" s="36"/>
      <c r="W381" s="36"/>
      <c r="X381" s="36"/>
      <c r="Y381" s="36"/>
      <c r="Z381" s="36"/>
      <c r="AA381" s="36"/>
      <c r="AB381" s="36"/>
    </row>
    <row r="382" spans="1:28" s="37" customFormat="1" ht="24">
      <c r="A382" s="2" t="s">
        <v>828</v>
      </c>
      <c r="B382" s="92" t="s">
        <v>471</v>
      </c>
      <c r="C382" s="93" t="s">
        <v>637</v>
      </c>
      <c r="D382" s="94" t="s">
        <v>602</v>
      </c>
      <c r="E382" s="95" t="s">
        <v>347</v>
      </c>
      <c r="F382" s="91"/>
      <c r="G382" s="147"/>
      <c r="H382" s="147"/>
      <c r="I382" s="147"/>
      <c r="J382" s="147"/>
      <c r="K382" s="147">
        <f>780+440+1180+250</f>
        <v>2650</v>
      </c>
      <c r="L382" s="147"/>
      <c r="M382" s="147"/>
      <c r="N382" s="147"/>
      <c r="O382" s="147"/>
      <c r="P382" s="147">
        <f>1575+530</f>
        <v>2105</v>
      </c>
      <c r="Q382" s="79">
        <f t="shared" si="11"/>
        <v>4755</v>
      </c>
      <c r="R382" s="151">
        <f aca="true" t="shared" si="12" ref="R382:R425">6000-Q382</f>
        <v>1245</v>
      </c>
      <c r="S382" s="160"/>
      <c r="T382" s="35"/>
      <c r="U382" s="36"/>
      <c r="V382" s="36"/>
      <c r="W382" s="36"/>
      <c r="X382" s="36"/>
      <c r="Y382" s="36"/>
      <c r="Z382" s="36"/>
      <c r="AA382" s="36"/>
      <c r="AB382" s="36"/>
    </row>
    <row r="383" spans="1:28" s="103" customFormat="1" ht="24">
      <c r="A383" s="118" t="s">
        <v>829</v>
      </c>
      <c r="B383" s="96" t="s">
        <v>471</v>
      </c>
      <c r="C383" s="97" t="s">
        <v>638</v>
      </c>
      <c r="D383" s="98" t="s">
        <v>489</v>
      </c>
      <c r="E383" s="99" t="s">
        <v>347</v>
      </c>
      <c r="F383" s="100"/>
      <c r="G383" s="146"/>
      <c r="H383" s="146"/>
      <c r="I383" s="146">
        <v>5100</v>
      </c>
      <c r="J383" s="146">
        <v>900</v>
      </c>
      <c r="K383" s="146"/>
      <c r="L383" s="146"/>
      <c r="M383" s="146"/>
      <c r="N383" s="146"/>
      <c r="O383" s="146"/>
      <c r="P383" s="146"/>
      <c r="Q383" s="138">
        <f t="shared" si="11"/>
        <v>6000</v>
      </c>
      <c r="R383" s="114">
        <f t="shared" si="12"/>
        <v>0</v>
      </c>
      <c r="S383" s="161"/>
      <c r="T383" s="101"/>
      <c r="U383" s="102"/>
      <c r="V383" s="102"/>
      <c r="W383" s="102"/>
      <c r="X383" s="102"/>
      <c r="Y383" s="102"/>
      <c r="Z383" s="102"/>
      <c r="AA383" s="102"/>
      <c r="AB383" s="102"/>
    </row>
    <row r="384" spans="1:28" s="37" customFormat="1" ht="24">
      <c r="A384" s="2" t="s">
        <v>830</v>
      </c>
      <c r="B384" s="75" t="s">
        <v>476</v>
      </c>
      <c r="C384" s="8" t="s">
        <v>639</v>
      </c>
      <c r="D384" s="9" t="s">
        <v>489</v>
      </c>
      <c r="E384" s="10" t="s">
        <v>347</v>
      </c>
      <c r="F384" s="58"/>
      <c r="G384" s="136"/>
      <c r="H384" s="136"/>
      <c r="I384" s="136">
        <v>1388</v>
      </c>
      <c r="J384" s="136"/>
      <c r="K384" s="136">
        <v>1200</v>
      </c>
      <c r="L384" s="136"/>
      <c r="M384" s="136"/>
      <c r="N384" s="136">
        <f>350+500</f>
        <v>850</v>
      </c>
      <c r="O384" s="136">
        <v>1230</v>
      </c>
      <c r="P384" s="136">
        <v>250</v>
      </c>
      <c r="Q384" s="79">
        <f t="shared" si="11"/>
        <v>4918</v>
      </c>
      <c r="R384" s="151">
        <f t="shared" si="12"/>
        <v>1082</v>
      </c>
      <c r="S384" s="160"/>
      <c r="T384" s="35"/>
      <c r="U384" s="36"/>
      <c r="V384" s="36"/>
      <c r="W384" s="36"/>
      <c r="X384" s="36"/>
      <c r="Y384" s="36"/>
      <c r="Z384" s="36"/>
      <c r="AA384" s="36"/>
      <c r="AB384" s="36"/>
    </row>
    <row r="385" spans="1:28" s="37" customFormat="1" ht="24">
      <c r="A385" s="2" t="s">
        <v>831</v>
      </c>
      <c r="B385" s="75" t="s">
        <v>476</v>
      </c>
      <c r="C385" s="8" t="s">
        <v>640</v>
      </c>
      <c r="D385" s="9" t="s">
        <v>602</v>
      </c>
      <c r="E385" s="10" t="s">
        <v>347</v>
      </c>
      <c r="F385" s="58"/>
      <c r="G385" s="136"/>
      <c r="H385" s="136">
        <f>2020+3540</f>
        <v>5560</v>
      </c>
      <c r="I385" s="136"/>
      <c r="J385" s="136"/>
      <c r="K385" s="136"/>
      <c r="L385" s="136"/>
      <c r="M385" s="136"/>
      <c r="N385" s="136"/>
      <c r="O385" s="136">
        <v>440</v>
      </c>
      <c r="P385" s="136"/>
      <c r="Q385" s="79">
        <f t="shared" si="11"/>
        <v>6000</v>
      </c>
      <c r="R385" s="151">
        <f t="shared" si="12"/>
        <v>0</v>
      </c>
      <c r="S385" s="160"/>
      <c r="T385" s="35"/>
      <c r="U385" s="36"/>
      <c r="V385" s="36"/>
      <c r="W385" s="36"/>
      <c r="X385" s="36"/>
      <c r="Y385" s="36"/>
      <c r="Z385" s="36"/>
      <c r="AA385" s="36"/>
      <c r="AB385" s="36"/>
    </row>
    <row r="386" spans="1:28" s="103" customFormat="1" ht="24">
      <c r="A386" s="118" t="s">
        <v>832</v>
      </c>
      <c r="B386" s="96" t="s">
        <v>476</v>
      </c>
      <c r="C386" s="97" t="s">
        <v>641</v>
      </c>
      <c r="D386" s="98" t="s">
        <v>531</v>
      </c>
      <c r="E386" s="174" t="s">
        <v>347</v>
      </c>
      <c r="F386" s="113"/>
      <c r="G386" s="112">
        <v>2030</v>
      </c>
      <c r="H386" s="112">
        <v>2204</v>
      </c>
      <c r="I386" s="112">
        <v>1310</v>
      </c>
      <c r="J386" s="112">
        <v>456</v>
      </c>
      <c r="K386" s="112"/>
      <c r="L386" s="112"/>
      <c r="M386" s="112"/>
      <c r="N386" s="112"/>
      <c r="O386" s="112"/>
      <c r="P386" s="112"/>
      <c r="Q386" s="138">
        <f t="shared" si="11"/>
        <v>6000</v>
      </c>
      <c r="R386" s="114">
        <f t="shared" si="12"/>
        <v>0</v>
      </c>
      <c r="S386" s="161"/>
      <c r="T386" s="101"/>
      <c r="U386" s="102"/>
      <c r="V386" s="102"/>
      <c r="W386" s="102"/>
      <c r="X386" s="102"/>
      <c r="Y386" s="102"/>
      <c r="Z386" s="102"/>
      <c r="AA386" s="102"/>
      <c r="AB386" s="102"/>
    </row>
    <row r="387" spans="1:28" s="37" customFormat="1" ht="24">
      <c r="A387" s="2" t="s">
        <v>833</v>
      </c>
      <c r="B387" s="30" t="s">
        <v>481</v>
      </c>
      <c r="C387" s="4" t="s">
        <v>642</v>
      </c>
      <c r="D387" s="5" t="s">
        <v>602</v>
      </c>
      <c r="E387" s="6" t="s">
        <v>347</v>
      </c>
      <c r="F387" s="60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79">
        <f t="shared" si="11"/>
        <v>0</v>
      </c>
      <c r="R387" s="151">
        <f t="shared" si="12"/>
        <v>6000</v>
      </c>
      <c r="S387" s="160"/>
      <c r="T387" s="35"/>
      <c r="U387" s="36"/>
      <c r="V387" s="36"/>
      <c r="W387" s="36"/>
      <c r="X387" s="36"/>
      <c r="Y387" s="36"/>
      <c r="Z387" s="36"/>
      <c r="AA387" s="36"/>
      <c r="AB387" s="36"/>
    </row>
    <row r="388" spans="1:28" s="103" customFormat="1" ht="24">
      <c r="A388" s="118" t="s">
        <v>834</v>
      </c>
      <c r="B388" s="96" t="s">
        <v>481</v>
      </c>
      <c r="C388" s="97" t="s">
        <v>643</v>
      </c>
      <c r="D388" s="98" t="s">
        <v>531</v>
      </c>
      <c r="E388" s="194" t="s">
        <v>347</v>
      </c>
      <c r="F388" s="113"/>
      <c r="G388" s="112"/>
      <c r="H388" s="112">
        <f>1000+300</f>
        <v>1300</v>
      </c>
      <c r="I388" s="112"/>
      <c r="J388" s="112"/>
      <c r="K388" s="112">
        <f>380+200</f>
        <v>580</v>
      </c>
      <c r="L388" s="112">
        <v>1460</v>
      </c>
      <c r="M388" s="112">
        <v>2660</v>
      </c>
      <c r="N388" s="112"/>
      <c r="O388" s="112"/>
      <c r="P388" s="112"/>
      <c r="Q388" s="138">
        <f t="shared" si="11"/>
        <v>6000</v>
      </c>
      <c r="R388" s="114">
        <f t="shared" si="12"/>
        <v>0</v>
      </c>
      <c r="S388" s="161"/>
      <c r="T388" s="101"/>
      <c r="U388" s="102"/>
      <c r="V388" s="102"/>
      <c r="W388" s="102"/>
      <c r="X388" s="102"/>
      <c r="Y388" s="102"/>
      <c r="Z388" s="102"/>
      <c r="AA388" s="102"/>
      <c r="AB388" s="102"/>
    </row>
    <row r="389" spans="1:28" s="37" customFormat="1" ht="24">
      <c r="A389" s="2" t="s">
        <v>835</v>
      </c>
      <c r="B389" s="75" t="s">
        <v>481</v>
      </c>
      <c r="C389" s="8" t="s">
        <v>644</v>
      </c>
      <c r="D389" s="9" t="s">
        <v>602</v>
      </c>
      <c r="E389" s="10" t="s">
        <v>347</v>
      </c>
      <c r="F389" s="58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79">
        <f t="shared" si="11"/>
        <v>0</v>
      </c>
      <c r="R389" s="151">
        <f t="shared" si="12"/>
        <v>6000</v>
      </c>
      <c r="S389" s="160"/>
      <c r="T389" s="35"/>
      <c r="U389" s="36"/>
      <c r="V389" s="36"/>
      <c r="W389" s="36"/>
      <c r="X389" s="36"/>
      <c r="Y389" s="36"/>
      <c r="Z389" s="36"/>
      <c r="AA389" s="36"/>
      <c r="AB389" s="36"/>
    </row>
    <row r="390" spans="1:28" s="103" customFormat="1" ht="24">
      <c r="A390" s="118" t="s">
        <v>836</v>
      </c>
      <c r="B390" s="104" t="s">
        <v>481</v>
      </c>
      <c r="C390" s="105" t="s">
        <v>645</v>
      </c>
      <c r="D390" s="106" t="s">
        <v>602</v>
      </c>
      <c r="E390" s="107" t="s">
        <v>347</v>
      </c>
      <c r="F390" s="108"/>
      <c r="G390" s="145">
        <v>6000</v>
      </c>
      <c r="H390" s="145"/>
      <c r="I390" s="145"/>
      <c r="J390" s="145"/>
      <c r="K390" s="145"/>
      <c r="L390" s="145"/>
      <c r="M390" s="145"/>
      <c r="N390" s="145"/>
      <c r="O390" s="145"/>
      <c r="P390" s="145"/>
      <c r="Q390" s="138">
        <f t="shared" si="11"/>
        <v>6000</v>
      </c>
      <c r="R390" s="114">
        <f t="shared" si="12"/>
        <v>0</v>
      </c>
      <c r="S390" s="161"/>
      <c r="T390" s="101"/>
      <c r="U390" s="102"/>
      <c r="V390" s="102"/>
      <c r="W390" s="102"/>
      <c r="X390" s="102"/>
      <c r="Y390" s="102"/>
      <c r="Z390" s="102"/>
      <c r="AA390" s="102"/>
      <c r="AB390" s="102"/>
    </row>
    <row r="391" spans="1:28" s="37" customFormat="1" ht="24">
      <c r="A391" s="2" t="s">
        <v>837</v>
      </c>
      <c r="B391" s="75" t="s">
        <v>481</v>
      </c>
      <c r="C391" s="8" t="s">
        <v>646</v>
      </c>
      <c r="D391" s="9" t="s">
        <v>483</v>
      </c>
      <c r="E391" s="10" t="s">
        <v>347</v>
      </c>
      <c r="F391" s="58"/>
      <c r="G391" s="136"/>
      <c r="H391" s="136"/>
      <c r="I391" s="136"/>
      <c r="J391" s="136"/>
      <c r="K391" s="136">
        <v>4400</v>
      </c>
      <c r="L391" s="136"/>
      <c r="M391" s="136">
        <v>200</v>
      </c>
      <c r="N391" s="136"/>
      <c r="O391" s="136"/>
      <c r="P391" s="136"/>
      <c r="Q391" s="79">
        <f t="shared" si="11"/>
        <v>4600</v>
      </c>
      <c r="R391" s="151">
        <f t="shared" si="12"/>
        <v>1400</v>
      </c>
      <c r="S391" s="160"/>
      <c r="T391" s="35"/>
      <c r="U391" s="36"/>
      <c r="V391" s="36"/>
      <c r="W391" s="36"/>
      <c r="X391" s="36"/>
      <c r="Y391" s="36"/>
      <c r="Z391" s="36"/>
      <c r="AA391" s="36"/>
      <c r="AB391" s="36"/>
    </row>
    <row r="392" spans="1:28" s="103" customFormat="1" ht="24">
      <c r="A392" s="118" t="s">
        <v>838</v>
      </c>
      <c r="B392" s="104" t="s">
        <v>471</v>
      </c>
      <c r="C392" s="105" t="s">
        <v>647</v>
      </c>
      <c r="D392" s="106" t="s">
        <v>489</v>
      </c>
      <c r="E392" s="107" t="s">
        <v>347</v>
      </c>
      <c r="F392" s="108">
        <v>1874</v>
      </c>
      <c r="G392" s="145">
        <f>2399+1326</f>
        <v>3725</v>
      </c>
      <c r="H392" s="145"/>
      <c r="I392" s="145">
        <v>401</v>
      </c>
      <c r="J392" s="145"/>
      <c r="K392" s="145"/>
      <c r="L392" s="145"/>
      <c r="M392" s="145"/>
      <c r="N392" s="145"/>
      <c r="O392" s="145"/>
      <c r="P392" s="145"/>
      <c r="Q392" s="138">
        <f t="shared" si="11"/>
        <v>6000</v>
      </c>
      <c r="R392" s="114">
        <f t="shared" si="12"/>
        <v>0</v>
      </c>
      <c r="S392" s="161"/>
      <c r="T392" s="101"/>
      <c r="U392" s="102"/>
      <c r="V392" s="102"/>
      <c r="W392" s="102"/>
      <c r="X392" s="102"/>
      <c r="Y392" s="102"/>
      <c r="Z392" s="102"/>
      <c r="AA392" s="102"/>
      <c r="AB392" s="102"/>
    </row>
    <row r="393" spans="1:28" s="103" customFormat="1" ht="24">
      <c r="A393" s="118" t="s">
        <v>839</v>
      </c>
      <c r="B393" s="104" t="s">
        <v>476</v>
      </c>
      <c r="C393" s="105" t="s">
        <v>648</v>
      </c>
      <c r="D393" s="106" t="s">
        <v>602</v>
      </c>
      <c r="E393" s="107" t="s">
        <v>347</v>
      </c>
      <c r="F393" s="108"/>
      <c r="G393" s="145"/>
      <c r="H393" s="145"/>
      <c r="I393" s="145"/>
      <c r="J393" s="145"/>
      <c r="K393" s="145"/>
      <c r="L393" s="145"/>
      <c r="M393" s="145">
        <v>6000</v>
      </c>
      <c r="N393" s="145"/>
      <c r="O393" s="145"/>
      <c r="P393" s="145"/>
      <c r="Q393" s="138">
        <f t="shared" si="11"/>
        <v>6000</v>
      </c>
      <c r="R393" s="114">
        <f t="shared" si="12"/>
        <v>0</v>
      </c>
      <c r="S393" s="161"/>
      <c r="T393" s="101"/>
      <c r="U393" s="102"/>
      <c r="V393" s="102"/>
      <c r="W393" s="102"/>
      <c r="X393" s="102"/>
      <c r="Y393" s="102"/>
      <c r="Z393" s="102"/>
      <c r="AA393" s="102"/>
      <c r="AB393" s="102"/>
    </row>
    <row r="394" spans="1:28" s="103" customFormat="1" ht="24">
      <c r="A394" s="118" t="s">
        <v>840</v>
      </c>
      <c r="B394" s="104" t="s">
        <v>476</v>
      </c>
      <c r="C394" s="105" t="s">
        <v>649</v>
      </c>
      <c r="D394" s="106" t="s">
        <v>602</v>
      </c>
      <c r="E394" s="107" t="s">
        <v>347</v>
      </c>
      <c r="F394" s="108"/>
      <c r="G394" s="145">
        <v>1474</v>
      </c>
      <c r="H394" s="145">
        <v>1650</v>
      </c>
      <c r="I394" s="145"/>
      <c r="J394" s="145"/>
      <c r="K394" s="145"/>
      <c r="L394" s="145"/>
      <c r="M394" s="145"/>
      <c r="N394" s="145">
        <v>780</v>
      </c>
      <c r="O394" s="145"/>
      <c r="P394" s="145">
        <v>2096</v>
      </c>
      <c r="Q394" s="138">
        <f t="shared" si="11"/>
        <v>6000</v>
      </c>
      <c r="R394" s="114">
        <f t="shared" si="12"/>
        <v>0</v>
      </c>
      <c r="S394" s="161"/>
      <c r="T394" s="101"/>
      <c r="U394" s="102"/>
      <c r="V394" s="102"/>
      <c r="W394" s="102"/>
      <c r="X394" s="102"/>
      <c r="Y394" s="102"/>
      <c r="Z394" s="102"/>
      <c r="AA394" s="102"/>
      <c r="AB394" s="102"/>
    </row>
    <row r="395" spans="1:28" s="103" customFormat="1" ht="24">
      <c r="A395" s="118" t="s">
        <v>841</v>
      </c>
      <c r="B395" s="104" t="s">
        <v>476</v>
      </c>
      <c r="C395" s="105" t="s">
        <v>650</v>
      </c>
      <c r="D395" s="106" t="s">
        <v>489</v>
      </c>
      <c r="E395" s="107" t="s">
        <v>347</v>
      </c>
      <c r="F395" s="108"/>
      <c r="G395" s="145"/>
      <c r="H395" s="145">
        <v>760</v>
      </c>
      <c r="I395" s="145"/>
      <c r="J395" s="145"/>
      <c r="K395" s="145"/>
      <c r="L395" s="145"/>
      <c r="M395" s="145">
        <f>800+2800</f>
        <v>3600</v>
      </c>
      <c r="N395" s="145">
        <v>650</v>
      </c>
      <c r="O395" s="145"/>
      <c r="P395" s="145">
        <v>990</v>
      </c>
      <c r="Q395" s="138">
        <f t="shared" si="11"/>
        <v>6000</v>
      </c>
      <c r="R395" s="114">
        <f t="shared" si="12"/>
        <v>0</v>
      </c>
      <c r="S395" s="161"/>
      <c r="T395" s="101"/>
      <c r="U395" s="102"/>
      <c r="V395" s="102"/>
      <c r="W395" s="102"/>
      <c r="X395" s="102"/>
      <c r="Y395" s="102"/>
      <c r="Z395" s="102"/>
      <c r="AA395" s="102"/>
      <c r="AB395" s="102"/>
    </row>
    <row r="396" spans="1:28" s="37" customFormat="1" ht="24">
      <c r="A396" s="2" t="s">
        <v>842</v>
      </c>
      <c r="B396" s="75" t="s">
        <v>476</v>
      </c>
      <c r="C396" s="8" t="s">
        <v>651</v>
      </c>
      <c r="D396" s="9" t="s">
        <v>652</v>
      </c>
      <c r="E396" s="10" t="s">
        <v>347</v>
      </c>
      <c r="F396" s="58"/>
      <c r="G396" s="136"/>
      <c r="H396" s="136"/>
      <c r="I396" s="136"/>
      <c r="J396" s="136"/>
      <c r="K396" s="136"/>
      <c r="L396" s="136">
        <v>500</v>
      </c>
      <c r="M396" s="136"/>
      <c r="N396" s="136"/>
      <c r="O396" s="136"/>
      <c r="P396" s="136">
        <v>5160</v>
      </c>
      <c r="Q396" s="79">
        <f t="shared" si="11"/>
        <v>5660</v>
      </c>
      <c r="R396" s="151">
        <f t="shared" si="12"/>
        <v>340</v>
      </c>
      <c r="S396" s="160"/>
      <c r="T396" s="35"/>
      <c r="U396" s="36"/>
      <c r="V396" s="36"/>
      <c r="W396" s="36"/>
      <c r="X396" s="36"/>
      <c r="Y396" s="36"/>
      <c r="Z396" s="36"/>
      <c r="AA396" s="36"/>
      <c r="AB396" s="36"/>
    </row>
    <row r="397" spans="1:28" s="37" customFormat="1" ht="24">
      <c r="A397" s="2" t="s">
        <v>843</v>
      </c>
      <c r="B397" s="75" t="s">
        <v>471</v>
      </c>
      <c r="C397" s="8" t="s">
        <v>653</v>
      </c>
      <c r="D397" s="9" t="s">
        <v>489</v>
      </c>
      <c r="E397" s="10" t="s">
        <v>654</v>
      </c>
      <c r="F397" s="58"/>
      <c r="G397" s="136"/>
      <c r="H397" s="136"/>
      <c r="I397" s="136"/>
      <c r="J397" s="136"/>
      <c r="K397" s="136">
        <v>468</v>
      </c>
      <c r="L397" s="136"/>
      <c r="M397" s="136"/>
      <c r="N397" s="136"/>
      <c r="O397" s="136"/>
      <c r="P397" s="136"/>
      <c r="Q397" s="79">
        <f t="shared" si="11"/>
        <v>468</v>
      </c>
      <c r="R397" s="151">
        <f t="shared" si="12"/>
        <v>5532</v>
      </c>
      <c r="S397" s="160"/>
      <c r="T397" s="35"/>
      <c r="U397" s="36"/>
      <c r="V397" s="36"/>
      <c r="W397" s="36"/>
      <c r="X397" s="36"/>
      <c r="Y397" s="36"/>
      <c r="Z397" s="36"/>
      <c r="AA397" s="36"/>
      <c r="AB397" s="36"/>
    </row>
    <row r="398" spans="1:28" s="37" customFormat="1" ht="24">
      <c r="A398" s="2" t="s">
        <v>844</v>
      </c>
      <c r="B398" s="30" t="s">
        <v>476</v>
      </c>
      <c r="C398" s="4" t="s">
        <v>655</v>
      </c>
      <c r="D398" s="5" t="s">
        <v>531</v>
      </c>
      <c r="E398" s="59" t="s">
        <v>654</v>
      </c>
      <c r="F398" s="60"/>
      <c r="G398" s="129">
        <v>1400</v>
      </c>
      <c r="H398" s="129">
        <v>3210</v>
      </c>
      <c r="I398" s="129"/>
      <c r="J398" s="129">
        <v>1285</v>
      </c>
      <c r="K398" s="129"/>
      <c r="L398" s="129"/>
      <c r="M398" s="129"/>
      <c r="N398" s="129"/>
      <c r="O398" s="129"/>
      <c r="P398" s="129"/>
      <c r="Q398" s="79">
        <f t="shared" si="11"/>
        <v>5895</v>
      </c>
      <c r="R398" s="151">
        <f t="shared" si="12"/>
        <v>105</v>
      </c>
      <c r="S398" s="160"/>
      <c r="T398" s="35"/>
      <c r="U398" s="36"/>
      <c r="V398" s="36"/>
      <c r="W398" s="36"/>
      <c r="X398" s="36"/>
      <c r="Y398" s="36"/>
      <c r="Z398" s="36"/>
      <c r="AA398" s="36"/>
      <c r="AB398" s="36"/>
    </row>
    <row r="399" spans="1:28" s="103" customFormat="1" ht="24">
      <c r="A399" s="118" t="s">
        <v>845</v>
      </c>
      <c r="B399" s="96" t="s">
        <v>476</v>
      </c>
      <c r="C399" s="97" t="s">
        <v>656</v>
      </c>
      <c r="D399" s="98" t="s">
        <v>489</v>
      </c>
      <c r="E399" s="174" t="s">
        <v>654</v>
      </c>
      <c r="F399" s="113"/>
      <c r="G399" s="112">
        <v>1400</v>
      </c>
      <c r="H399" s="112">
        <v>1480</v>
      </c>
      <c r="I399" s="112"/>
      <c r="J399" s="112"/>
      <c r="K399" s="112">
        <f>1120+2000</f>
        <v>3120</v>
      </c>
      <c r="L399" s="112"/>
      <c r="M399" s="112"/>
      <c r="N399" s="112"/>
      <c r="O399" s="112"/>
      <c r="P399" s="112"/>
      <c r="Q399" s="138">
        <f t="shared" si="11"/>
        <v>6000</v>
      </c>
      <c r="R399" s="114">
        <f t="shared" si="12"/>
        <v>0</v>
      </c>
      <c r="S399" s="161"/>
      <c r="T399" s="101"/>
      <c r="U399" s="102"/>
      <c r="V399" s="102"/>
      <c r="W399" s="102"/>
      <c r="X399" s="102"/>
      <c r="Y399" s="102"/>
      <c r="Z399" s="102"/>
      <c r="AA399" s="102"/>
      <c r="AB399" s="102"/>
    </row>
    <row r="400" spans="1:28" s="37" customFormat="1" ht="24">
      <c r="A400" s="2" t="s">
        <v>846</v>
      </c>
      <c r="B400" s="30" t="s">
        <v>481</v>
      </c>
      <c r="C400" s="4" t="s">
        <v>657</v>
      </c>
      <c r="D400" s="5" t="s">
        <v>509</v>
      </c>
      <c r="E400" s="59" t="s">
        <v>654</v>
      </c>
      <c r="F400" s="60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79">
        <f t="shared" si="11"/>
        <v>0</v>
      </c>
      <c r="R400" s="151">
        <f t="shared" si="12"/>
        <v>6000</v>
      </c>
      <c r="S400" s="160"/>
      <c r="T400" s="35"/>
      <c r="U400" s="36"/>
      <c r="V400" s="36"/>
      <c r="W400" s="36"/>
      <c r="X400" s="36"/>
      <c r="Y400" s="36"/>
      <c r="Z400" s="36"/>
      <c r="AA400" s="36"/>
      <c r="AB400" s="36"/>
    </row>
    <row r="401" spans="1:28" s="37" customFormat="1" ht="24">
      <c r="A401" s="2" t="s">
        <v>847</v>
      </c>
      <c r="B401" s="30" t="s">
        <v>476</v>
      </c>
      <c r="C401" s="4" t="s">
        <v>658</v>
      </c>
      <c r="D401" s="5" t="s">
        <v>659</v>
      </c>
      <c r="E401" s="11" t="s">
        <v>660</v>
      </c>
      <c r="F401" s="56"/>
      <c r="G401" s="133">
        <f>1140+157+600+340</f>
        <v>2237</v>
      </c>
      <c r="H401" s="133">
        <f>1055+1320+518.75</f>
        <v>2893.75</v>
      </c>
      <c r="I401" s="133"/>
      <c r="J401" s="133"/>
      <c r="K401" s="133"/>
      <c r="L401" s="133"/>
      <c r="M401" s="133"/>
      <c r="N401" s="133"/>
      <c r="O401" s="133"/>
      <c r="P401" s="133"/>
      <c r="Q401" s="79">
        <f t="shared" si="11"/>
        <v>5130.75</v>
      </c>
      <c r="R401" s="151">
        <f t="shared" si="12"/>
        <v>869.25</v>
      </c>
      <c r="S401" s="160"/>
      <c r="T401" s="35"/>
      <c r="U401" s="36"/>
      <c r="V401" s="36"/>
      <c r="W401" s="36"/>
      <c r="X401" s="36"/>
      <c r="Y401" s="36"/>
      <c r="Z401" s="36"/>
      <c r="AA401" s="36"/>
      <c r="AB401" s="36"/>
    </row>
    <row r="402" spans="1:28" s="103" customFormat="1" ht="24">
      <c r="A402" s="118" t="s">
        <v>848</v>
      </c>
      <c r="B402" s="96" t="s">
        <v>471</v>
      </c>
      <c r="C402" s="97" t="s">
        <v>661</v>
      </c>
      <c r="D402" s="98" t="s">
        <v>659</v>
      </c>
      <c r="E402" s="99" t="s">
        <v>660</v>
      </c>
      <c r="F402" s="100"/>
      <c r="G402" s="146"/>
      <c r="H402" s="146"/>
      <c r="I402" s="146"/>
      <c r="J402" s="146"/>
      <c r="K402" s="146"/>
      <c r="L402" s="146"/>
      <c r="M402" s="146"/>
      <c r="N402" s="146"/>
      <c r="O402" s="146">
        <v>6000</v>
      </c>
      <c r="P402" s="146"/>
      <c r="Q402" s="138">
        <f t="shared" si="11"/>
        <v>6000</v>
      </c>
      <c r="R402" s="114">
        <f t="shared" si="12"/>
        <v>0</v>
      </c>
      <c r="S402" s="161"/>
      <c r="T402" s="101"/>
      <c r="U402" s="102"/>
      <c r="V402" s="102"/>
      <c r="W402" s="102"/>
      <c r="X402" s="102"/>
      <c r="Y402" s="102"/>
      <c r="Z402" s="102"/>
      <c r="AA402" s="102"/>
      <c r="AB402" s="102"/>
    </row>
    <row r="403" spans="1:28" s="37" customFormat="1" ht="24">
      <c r="A403" s="2" t="s">
        <v>849</v>
      </c>
      <c r="B403" s="75" t="s">
        <v>476</v>
      </c>
      <c r="C403" s="8" t="s">
        <v>662</v>
      </c>
      <c r="D403" s="9" t="s">
        <v>659</v>
      </c>
      <c r="E403" s="10" t="s">
        <v>660</v>
      </c>
      <c r="F403" s="58"/>
      <c r="G403" s="136"/>
      <c r="H403" s="136"/>
      <c r="I403" s="136"/>
      <c r="J403" s="136"/>
      <c r="K403" s="136"/>
      <c r="L403" s="136"/>
      <c r="M403" s="136"/>
      <c r="N403" s="136"/>
      <c r="O403" s="136">
        <v>2085</v>
      </c>
      <c r="P403" s="136"/>
      <c r="Q403" s="79">
        <f t="shared" si="11"/>
        <v>2085</v>
      </c>
      <c r="R403" s="151">
        <f t="shared" si="12"/>
        <v>3915</v>
      </c>
      <c r="S403" s="160"/>
      <c r="T403" s="35"/>
      <c r="U403" s="36"/>
      <c r="V403" s="36"/>
      <c r="W403" s="36"/>
      <c r="X403" s="36"/>
      <c r="Y403" s="36"/>
      <c r="Z403" s="36"/>
      <c r="AA403" s="36"/>
      <c r="AB403" s="36"/>
    </row>
    <row r="404" spans="1:28" s="103" customFormat="1" ht="24">
      <c r="A404" s="118" t="s">
        <v>850</v>
      </c>
      <c r="B404" s="104" t="s">
        <v>471</v>
      </c>
      <c r="C404" s="105" t="s">
        <v>663</v>
      </c>
      <c r="D404" s="106" t="s">
        <v>659</v>
      </c>
      <c r="E404" s="107" t="s">
        <v>660</v>
      </c>
      <c r="F404" s="108"/>
      <c r="G404" s="145"/>
      <c r="H404" s="145">
        <f>450+450</f>
        <v>900</v>
      </c>
      <c r="I404" s="145"/>
      <c r="J404" s="145">
        <f>450+450+510</f>
        <v>1410</v>
      </c>
      <c r="K404" s="145"/>
      <c r="L404" s="145"/>
      <c r="M404" s="145"/>
      <c r="N404" s="145">
        <v>1390</v>
      </c>
      <c r="O404" s="145"/>
      <c r="P404" s="145">
        <v>2300</v>
      </c>
      <c r="Q404" s="138">
        <f t="shared" si="11"/>
        <v>6000</v>
      </c>
      <c r="R404" s="114">
        <f t="shared" si="12"/>
        <v>0</v>
      </c>
      <c r="S404" s="161"/>
      <c r="T404" s="101"/>
      <c r="U404" s="102"/>
      <c r="V404" s="102"/>
      <c r="W404" s="102"/>
      <c r="X404" s="102"/>
      <c r="Y404" s="102"/>
      <c r="Z404" s="102"/>
      <c r="AA404" s="102"/>
      <c r="AB404" s="102"/>
    </row>
    <row r="405" spans="1:28" s="37" customFormat="1" ht="24">
      <c r="A405" s="2" t="s">
        <v>851</v>
      </c>
      <c r="B405" s="30" t="s">
        <v>476</v>
      </c>
      <c r="C405" s="4" t="s">
        <v>664</v>
      </c>
      <c r="D405" s="5" t="s">
        <v>489</v>
      </c>
      <c r="E405" s="11" t="s">
        <v>660</v>
      </c>
      <c r="F405" s="56"/>
      <c r="G405" s="133"/>
      <c r="H405" s="133"/>
      <c r="I405" s="133"/>
      <c r="J405" s="133"/>
      <c r="K405" s="133"/>
      <c r="L405" s="133"/>
      <c r="M405" s="133">
        <v>3905</v>
      </c>
      <c r="N405" s="133"/>
      <c r="O405" s="133"/>
      <c r="P405" s="133"/>
      <c r="Q405" s="79">
        <f t="shared" si="11"/>
        <v>3905</v>
      </c>
      <c r="R405" s="151">
        <f t="shared" si="12"/>
        <v>2095</v>
      </c>
      <c r="S405" s="160"/>
      <c r="T405" s="35"/>
      <c r="U405" s="36"/>
      <c r="V405" s="36"/>
      <c r="W405" s="36"/>
      <c r="X405" s="36"/>
      <c r="Y405" s="36"/>
      <c r="Z405" s="36"/>
      <c r="AA405" s="36"/>
      <c r="AB405" s="36"/>
    </row>
    <row r="406" spans="1:28" s="37" customFormat="1" ht="24">
      <c r="A406" s="2" t="s">
        <v>852</v>
      </c>
      <c r="B406" s="30" t="s">
        <v>476</v>
      </c>
      <c r="C406" s="4" t="s">
        <v>665</v>
      </c>
      <c r="D406" s="5" t="s">
        <v>659</v>
      </c>
      <c r="E406" s="59" t="s">
        <v>660</v>
      </c>
      <c r="F406" s="60"/>
      <c r="G406" s="129"/>
      <c r="H406" s="129"/>
      <c r="I406" s="129"/>
      <c r="J406" s="129"/>
      <c r="K406" s="129"/>
      <c r="L406" s="129"/>
      <c r="M406" s="129"/>
      <c r="N406" s="129"/>
      <c r="O406" s="129">
        <v>243.25</v>
      </c>
      <c r="P406" s="129"/>
      <c r="Q406" s="79">
        <f t="shared" si="11"/>
        <v>243.25</v>
      </c>
      <c r="R406" s="151">
        <f t="shared" si="12"/>
        <v>5756.75</v>
      </c>
      <c r="S406" s="160"/>
      <c r="T406" s="35"/>
      <c r="U406" s="36"/>
      <c r="V406" s="36"/>
      <c r="W406" s="36"/>
      <c r="X406" s="36"/>
      <c r="Y406" s="36"/>
      <c r="Z406" s="36"/>
      <c r="AA406" s="36"/>
      <c r="AB406" s="36"/>
    </row>
    <row r="407" spans="1:28" s="37" customFormat="1" ht="24">
      <c r="A407" s="2" t="s">
        <v>853</v>
      </c>
      <c r="B407" s="30" t="s">
        <v>476</v>
      </c>
      <c r="C407" s="4" t="s">
        <v>666</v>
      </c>
      <c r="D407" s="5" t="s">
        <v>659</v>
      </c>
      <c r="E407" s="59" t="s">
        <v>660</v>
      </c>
      <c r="F407" s="60">
        <v>1240</v>
      </c>
      <c r="G407" s="129">
        <v>1620</v>
      </c>
      <c r="H407" s="129">
        <v>2000</v>
      </c>
      <c r="I407" s="129"/>
      <c r="J407" s="129"/>
      <c r="K407" s="129"/>
      <c r="L407" s="129"/>
      <c r="M407" s="129"/>
      <c r="N407" s="129"/>
      <c r="O407" s="129">
        <v>845</v>
      </c>
      <c r="P407" s="129"/>
      <c r="Q407" s="79">
        <f t="shared" si="11"/>
        <v>5705</v>
      </c>
      <c r="R407" s="151">
        <f t="shared" si="12"/>
        <v>295</v>
      </c>
      <c r="S407" s="160"/>
      <c r="T407" s="35"/>
      <c r="U407" s="36"/>
      <c r="V407" s="36"/>
      <c r="W407" s="36"/>
      <c r="X407" s="36"/>
      <c r="Y407" s="36"/>
      <c r="Z407" s="36"/>
      <c r="AA407" s="36"/>
      <c r="AB407" s="36"/>
    </row>
    <row r="408" spans="1:28" s="37" customFormat="1" ht="24">
      <c r="A408" s="2" t="s">
        <v>854</v>
      </c>
      <c r="B408" s="75" t="s">
        <v>481</v>
      </c>
      <c r="C408" s="8" t="s">
        <v>667</v>
      </c>
      <c r="D408" s="9" t="s">
        <v>668</v>
      </c>
      <c r="E408" s="10" t="s">
        <v>660</v>
      </c>
      <c r="F408" s="58">
        <v>3490</v>
      </c>
      <c r="G408" s="136">
        <v>1350</v>
      </c>
      <c r="H408" s="136"/>
      <c r="I408" s="136"/>
      <c r="J408" s="136"/>
      <c r="K408" s="136"/>
      <c r="L408" s="136"/>
      <c r="M408" s="136"/>
      <c r="N408" s="136"/>
      <c r="O408" s="136"/>
      <c r="P408" s="136">
        <v>1030</v>
      </c>
      <c r="Q408" s="79">
        <f t="shared" si="11"/>
        <v>5870</v>
      </c>
      <c r="R408" s="151">
        <f t="shared" si="12"/>
        <v>130</v>
      </c>
      <c r="S408" s="160"/>
      <c r="T408" s="35"/>
      <c r="U408" s="36"/>
      <c r="V408" s="36"/>
      <c r="W408" s="36"/>
      <c r="X408" s="36"/>
      <c r="Y408" s="36"/>
      <c r="Z408" s="36"/>
      <c r="AA408" s="36"/>
      <c r="AB408" s="36"/>
    </row>
    <row r="409" spans="1:28" s="37" customFormat="1" ht="24">
      <c r="A409" s="2" t="s">
        <v>855</v>
      </c>
      <c r="B409" s="75" t="s">
        <v>481</v>
      </c>
      <c r="C409" s="8" t="s">
        <v>669</v>
      </c>
      <c r="D409" s="9" t="s">
        <v>668</v>
      </c>
      <c r="E409" s="10" t="s">
        <v>660</v>
      </c>
      <c r="F409" s="58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>
        <v>530</v>
      </c>
      <c r="Q409" s="79">
        <f t="shared" si="11"/>
        <v>530</v>
      </c>
      <c r="R409" s="151">
        <f t="shared" si="12"/>
        <v>5470</v>
      </c>
      <c r="S409" s="160"/>
      <c r="T409" s="35"/>
      <c r="U409" s="36"/>
      <c r="V409" s="36"/>
      <c r="W409" s="36"/>
      <c r="X409" s="36"/>
      <c r="Y409" s="36"/>
      <c r="Z409" s="36"/>
      <c r="AA409" s="36"/>
      <c r="AB409" s="36"/>
    </row>
    <row r="410" spans="1:28" s="37" customFormat="1" ht="24">
      <c r="A410" s="2" t="s">
        <v>856</v>
      </c>
      <c r="B410" s="75" t="s">
        <v>481</v>
      </c>
      <c r="C410" s="8" t="s">
        <v>670</v>
      </c>
      <c r="D410" s="9" t="s">
        <v>489</v>
      </c>
      <c r="E410" s="10" t="s">
        <v>660</v>
      </c>
      <c r="F410" s="58"/>
      <c r="G410" s="136"/>
      <c r="H410" s="136">
        <v>2330</v>
      </c>
      <c r="I410" s="136"/>
      <c r="J410" s="136"/>
      <c r="K410" s="136"/>
      <c r="L410" s="136">
        <v>1905</v>
      </c>
      <c r="M410" s="136"/>
      <c r="N410" s="136"/>
      <c r="O410" s="136"/>
      <c r="P410" s="136"/>
      <c r="Q410" s="79">
        <f t="shared" si="11"/>
        <v>4235</v>
      </c>
      <c r="R410" s="151">
        <f t="shared" si="12"/>
        <v>1765</v>
      </c>
      <c r="S410" s="160"/>
      <c r="T410" s="35"/>
      <c r="U410" s="36"/>
      <c r="V410" s="36"/>
      <c r="W410" s="36"/>
      <c r="X410" s="36"/>
      <c r="Y410" s="36"/>
      <c r="Z410" s="36"/>
      <c r="AA410" s="36"/>
      <c r="AB410" s="36"/>
    </row>
    <row r="411" spans="1:28" s="37" customFormat="1" ht="24">
      <c r="A411" s="2" t="s">
        <v>857</v>
      </c>
      <c r="B411" s="30" t="s">
        <v>476</v>
      </c>
      <c r="C411" s="4" t="s">
        <v>671</v>
      </c>
      <c r="D411" s="5" t="s">
        <v>489</v>
      </c>
      <c r="E411" s="11" t="s">
        <v>672</v>
      </c>
      <c r="F411" s="56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79">
        <f aca="true" t="shared" si="13" ref="Q411:Q425">SUM(F411:P411)</f>
        <v>0</v>
      </c>
      <c r="R411" s="151">
        <f t="shared" si="12"/>
        <v>6000</v>
      </c>
      <c r="S411" s="160"/>
      <c r="T411" s="35"/>
      <c r="U411" s="36"/>
      <c r="V411" s="36"/>
      <c r="W411" s="36"/>
      <c r="X411" s="36"/>
      <c r="Y411" s="36"/>
      <c r="Z411" s="36"/>
      <c r="AA411" s="36"/>
      <c r="AB411" s="36"/>
    </row>
    <row r="412" spans="1:28" s="40" customFormat="1" ht="24">
      <c r="A412" s="2" t="s">
        <v>858</v>
      </c>
      <c r="B412" s="75" t="s">
        <v>476</v>
      </c>
      <c r="C412" s="8" t="s">
        <v>673</v>
      </c>
      <c r="D412" s="5" t="s">
        <v>489</v>
      </c>
      <c r="E412" s="11" t="s">
        <v>672</v>
      </c>
      <c r="F412" s="56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79">
        <f t="shared" si="13"/>
        <v>0</v>
      </c>
      <c r="R412" s="151">
        <f t="shared" si="12"/>
        <v>6000</v>
      </c>
      <c r="S412" s="160"/>
      <c r="T412" s="38"/>
      <c r="U412" s="39"/>
      <c r="V412" s="39"/>
      <c r="W412" s="39"/>
      <c r="X412" s="39"/>
      <c r="Y412" s="39"/>
      <c r="Z412" s="39"/>
      <c r="AA412" s="39"/>
      <c r="AB412" s="39"/>
    </row>
    <row r="413" spans="1:28" s="40" customFormat="1" ht="24">
      <c r="A413" s="2" t="s">
        <v>859</v>
      </c>
      <c r="B413" s="75" t="s">
        <v>476</v>
      </c>
      <c r="C413" s="8" t="s">
        <v>674</v>
      </c>
      <c r="D413" s="5" t="s">
        <v>489</v>
      </c>
      <c r="E413" s="11" t="s">
        <v>672</v>
      </c>
      <c r="F413" s="56"/>
      <c r="G413" s="133"/>
      <c r="H413" s="133"/>
      <c r="I413" s="133"/>
      <c r="J413" s="133"/>
      <c r="K413" s="133"/>
      <c r="L413" s="133"/>
      <c r="M413" s="133">
        <v>4000</v>
      </c>
      <c r="N413" s="133"/>
      <c r="O413" s="133"/>
      <c r="P413" s="133"/>
      <c r="Q413" s="79">
        <f t="shared" si="13"/>
        <v>4000</v>
      </c>
      <c r="R413" s="151">
        <f t="shared" si="12"/>
        <v>2000</v>
      </c>
      <c r="S413" s="160"/>
      <c r="T413" s="38"/>
      <c r="U413" s="39"/>
      <c r="V413" s="39"/>
      <c r="W413" s="39"/>
      <c r="X413" s="39"/>
      <c r="Y413" s="39"/>
      <c r="Z413" s="39"/>
      <c r="AA413" s="39"/>
      <c r="AB413" s="39"/>
    </row>
    <row r="414" spans="1:28" s="40" customFormat="1" ht="24">
      <c r="A414" s="2" t="s">
        <v>860</v>
      </c>
      <c r="B414" s="75" t="s">
        <v>476</v>
      </c>
      <c r="C414" s="8" t="s">
        <v>675</v>
      </c>
      <c r="D414" s="9" t="s">
        <v>531</v>
      </c>
      <c r="E414" s="11" t="s">
        <v>672</v>
      </c>
      <c r="F414" s="56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79">
        <f t="shared" si="13"/>
        <v>0</v>
      </c>
      <c r="R414" s="151">
        <f t="shared" si="12"/>
        <v>6000</v>
      </c>
      <c r="S414" s="160"/>
      <c r="T414" s="38"/>
      <c r="U414" s="39"/>
      <c r="V414" s="39"/>
      <c r="W414" s="39"/>
      <c r="X414" s="39"/>
      <c r="Y414" s="39"/>
      <c r="Z414" s="39"/>
      <c r="AA414" s="39"/>
      <c r="AB414" s="39"/>
    </row>
    <row r="415" spans="1:28" s="257" customFormat="1" ht="24">
      <c r="A415" s="118" t="s">
        <v>861</v>
      </c>
      <c r="B415" s="104" t="s">
        <v>476</v>
      </c>
      <c r="C415" s="105" t="s">
        <v>676</v>
      </c>
      <c r="D415" s="106" t="s">
        <v>531</v>
      </c>
      <c r="E415" s="99" t="s">
        <v>672</v>
      </c>
      <c r="F415" s="100"/>
      <c r="G415" s="146"/>
      <c r="H415" s="146"/>
      <c r="I415" s="146">
        <v>320</v>
      </c>
      <c r="J415" s="146">
        <v>820</v>
      </c>
      <c r="K415" s="146"/>
      <c r="L415" s="146"/>
      <c r="M415" s="146"/>
      <c r="N415" s="146">
        <v>3622</v>
      </c>
      <c r="O415" s="146"/>
      <c r="P415" s="146">
        <v>1238</v>
      </c>
      <c r="Q415" s="138">
        <f t="shared" si="13"/>
        <v>6000</v>
      </c>
      <c r="R415" s="114">
        <f t="shared" si="12"/>
        <v>0</v>
      </c>
      <c r="S415" s="161"/>
      <c r="T415" s="255"/>
      <c r="U415" s="256"/>
      <c r="V415" s="256"/>
      <c r="W415" s="256"/>
      <c r="X415" s="256"/>
      <c r="Y415" s="256"/>
      <c r="Z415" s="256"/>
      <c r="AA415" s="256"/>
      <c r="AB415" s="256"/>
    </row>
    <row r="416" spans="1:19" s="42" customFormat="1" ht="24">
      <c r="A416" s="2" t="s">
        <v>862</v>
      </c>
      <c r="B416" s="77" t="s">
        <v>476</v>
      </c>
      <c r="C416" s="41" t="s">
        <v>677</v>
      </c>
      <c r="D416" s="62" t="s">
        <v>489</v>
      </c>
      <c r="E416" s="11" t="s">
        <v>672</v>
      </c>
      <c r="F416" s="56"/>
      <c r="G416" s="133"/>
      <c r="H416" s="133"/>
      <c r="I416" s="133"/>
      <c r="J416" s="133"/>
      <c r="K416" s="133"/>
      <c r="L416" s="133"/>
      <c r="M416" s="133"/>
      <c r="N416" s="133">
        <v>350</v>
      </c>
      <c r="O416" s="133">
        <v>1755</v>
      </c>
      <c r="P416" s="133">
        <v>690</v>
      </c>
      <c r="Q416" s="79">
        <f t="shared" si="13"/>
        <v>2795</v>
      </c>
      <c r="R416" s="151">
        <f t="shared" si="12"/>
        <v>3205</v>
      </c>
      <c r="S416" s="160"/>
    </row>
    <row r="417" spans="1:19" s="42" customFormat="1" ht="24">
      <c r="A417" s="2" t="s">
        <v>863</v>
      </c>
      <c r="B417" s="77" t="s">
        <v>471</v>
      </c>
      <c r="C417" s="41" t="s">
        <v>678</v>
      </c>
      <c r="D417" s="62" t="s">
        <v>489</v>
      </c>
      <c r="E417" s="11" t="s">
        <v>672</v>
      </c>
      <c r="F417" s="56"/>
      <c r="G417" s="133"/>
      <c r="H417" s="133"/>
      <c r="I417" s="133"/>
      <c r="J417" s="133"/>
      <c r="K417" s="133"/>
      <c r="L417" s="133"/>
      <c r="M417" s="133">
        <v>852</v>
      </c>
      <c r="N417" s="133">
        <v>840</v>
      </c>
      <c r="O417" s="133">
        <v>1745</v>
      </c>
      <c r="P417" s="133">
        <v>1230</v>
      </c>
      <c r="Q417" s="79">
        <f t="shared" si="13"/>
        <v>4667</v>
      </c>
      <c r="R417" s="151">
        <f t="shared" si="12"/>
        <v>1333</v>
      </c>
      <c r="S417" s="160"/>
    </row>
    <row r="418" spans="1:28" s="37" customFormat="1" ht="24">
      <c r="A418" s="2" t="s">
        <v>864</v>
      </c>
      <c r="B418" s="30" t="s">
        <v>471</v>
      </c>
      <c r="C418" s="4" t="s">
        <v>679</v>
      </c>
      <c r="D418" s="5" t="s">
        <v>531</v>
      </c>
      <c r="E418" s="11" t="s">
        <v>680</v>
      </c>
      <c r="F418" s="56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79">
        <f t="shared" si="13"/>
        <v>0</v>
      </c>
      <c r="R418" s="151">
        <f t="shared" si="12"/>
        <v>6000</v>
      </c>
      <c r="S418" s="160"/>
      <c r="T418" s="35"/>
      <c r="U418" s="36"/>
      <c r="V418" s="36"/>
      <c r="W418" s="36"/>
      <c r="X418" s="36"/>
      <c r="Y418" s="36"/>
      <c r="Z418" s="36"/>
      <c r="AA418" s="36"/>
      <c r="AB418" s="36"/>
    </row>
    <row r="419" spans="1:28" s="37" customFormat="1" ht="24">
      <c r="A419" s="2" t="s">
        <v>865</v>
      </c>
      <c r="B419" s="75" t="s">
        <v>481</v>
      </c>
      <c r="C419" s="8" t="s">
        <v>681</v>
      </c>
      <c r="D419" s="9" t="s">
        <v>483</v>
      </c>
      <c r="E419" s="10" t="s">
        <v>680</v>
      </c>
      <c r="F419" s="58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79">
        <f t="shared" si="13"/>
        <v>0</v>
      </c>
      <c r="R419" s="151">
        <f t="shared" si="12"/>
        <v>6000</v>
      </c>
      <c r="S419" s="160"/>
      <c r="T419" s="35"/>
      <c r="U419" s="36"/>
      <c r="V419" s="36"/>
      <c r="W419" s="36"/>
      <c r="X419" s="36"/>
      <c r="Y419" s="36"/>
      <c r="Z419" s="36"/>
      <c r="AA419" s="36"/>
      <c r="AB419" s="36"/>
    </row>
    <row r="420" spans="1:28" s="37" customFormat="1" ht="24">
      <c r="A420" s="2" t="s">
        <v>866</v>
      </c>
      <c r="B420" s="75" t="s">
        <v>476</v>
      </c>
      <c r="C420" s="8" t="s">
        <v>682</v>
      </c>
      <c r="D420" s="9" t="s">
        <v>489</v>
      </c>
      <c r="E420" s="10" t="s">
        <v>680</v>
      </c>
      <c r="F420" s="58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79">
        <f t="shared" si="13"/>
        <v>0</v>
      </c>
      <c r="R420" s="151">
        <f t="shared" si="12"/>
        <v>6000</v>
      </c>
      <c r="S420" s="160"/>
      <c r="T420" s="35"/>
      <c r="U420" s="36"/>
      <c r="V420" s="36"/>
      <c r="W420" s="36"/>
      <c r="X420" s="36"/>
      <c r="Y420" s="36"/>
      <c r="Z420" s="36"/>
      <c r="AA420" s="36"/>
      <c r="AB420" s="36"/>
    </row>
    <row r="421" spans="1:28" s="37" customFormat="1" ht="24">
      <c r="A421" s="2" t="s">
        <v>867</v>
      </c>
      <c r="B421" s="75" t="s">
        <v>476</v>
      </c>
      <c r="C421" s="8" t="s">
        <v>683</v>
      </c>
      <c r="D421" s="9" t="s">
        <v>489</v>
      </c>
      <c r="E421" s="10" t="s">
        <v>680</v>
      </c>
      <c r="F421" s="58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79">
        <f t="shared" si="13"/>
        <v>0</v>
      </c>
      <c r="R421" s="151">
        <f t="shared" si="12"/>
        <v>6000</v>
      </c>
      <c r="S421" s="160"/>
      <c r="T421" s="35"/>
      <c r="U421" s="36"/>
      <c r="V421" s="36"/>
      <c r="W421" s="36"/>
      <c r="X421" s="36"/>
      <c r="Y421" s="36"/>
      <c r="Z421" s="36"/>
      <c r="AA421" s="36"/>
      <c r="AB421" s="36"/>
    </row>
    <row r="422" spans="1:28" s="37" customFormat="1" ht="24">
      <c r="A422" s="2" t="s">
        <v>868</v>
      </c>
      <c r="B422" s="75" t="s">
        <v>476</v>
      </c>
      <c r="C422" s="8" t="s">
        <v>684</v>
      </c>
      <c r="D422" s="9" t="s">
        <v>489</v>
      </c>
      <c r="E422" s="10" t="s">
        <v>680</v>
      </c>
      <c r="F422" s="58">
        <f>4000+300</f>
        <v>4300</v>
      </c>
      <c r="G422" s="136">
        <v>1540</v>
      </c>
      <c r="H422" s="136"/>
      <c r="I422" s="136"/>
      <c r="J422" s="136"/>
      <c r="K422" s="136"/>
      <c r="L422" s="136"/>
      <c r="M422" s="136"/>
      <c r="N422" s="136"/>
      <c r="O422" s="136"/>
      <c r="P422" s="136"/>
      <c r="Q422" s="79">
        <f t="shared" si="13"/>
        <v>5840</v>
      </c>
      <c r="R422" s="151">
        <f t="shared" si="12"/>
        <v>160</v>
      </c>
      <c r="S422" s="160"/>
      <c r="T422" s="35"/>
      <c r="U422" s="36"/>
      <c r="V422" s="36"/>
      <c r="W422" s="36"/>
      <c r="X422" s="36"/>
      <c r="Y422" s="36"/>
      <c r="Z422" s="36"/>
      <c r="AA422" s="36"/>
      <c r="AB422" s="36"/>
    </row>
    <row r="423" spans="1:28" s="103" customFormat="1" ht="24">
      <c r="A423" s="118" t="s">
        <v>869</v>
      </c>
      <c r="B423" s="168" t="s">
        <v>476</v>
      </c>
      <c r="C423" s="169" t="s">
        <v>685</v>
      </c>
      <c r="D423" s="170" t="s">
        <v>686</v>
      </c>
      <c r="E423" s="171" t="s">
        <v>687</v>
      </c>
      <c r="F423" s="172"/>
      <c r="G423" s="173">
        <f>4000+715</f>
        <v>4715</v>
      </c>
      <c r="H423" s="173">
        <v>1285</v>
      </c>
      <c r="I423" s="173"/>
      <c r="J423" s="173"/>
      <c r="K423" s="173"/>
      <c r="L423" s="173"/>
      <c r="M423" s="173"/>
      <c r="N423" s="173"/>
      <c r="O423" s="173"/>
      <c r="P423" s="173"/>
      <c r="Q423" s="138">
        <f t="shared" si="13"/>
        <v>6000</v>
      </c>
      <c r="R423" s="114">
        <f t="shared" si="12"/>
        <v>0</v>
      </c>
      <c r="S423" s="161"/>
      <c r="T423" s="101"/>
      <c r="U423" s="102"/>
      <c r="V423" s="102"/>
      <c r="W423" s="102"/>
      <c r="X423" s="102"/>
      <c r="Y423" s="102"/>
      <c r="Z423" s="102"/>
      <c r="AA423" s="102"/>
      <c r="AB423" s="102"/>
    </row>
    <row r="424" spans="1:28" s="37" customFormat="1" ht="24">
      <c r="A424" s="2" t="s">
        <v>870</v>
      </c>
      <c r="B424" s="75" t="s">
        <v>476</v>
      </c>
      <c r="C424" s="8" t="s">
        <v>688</v>
      </c>
      <c r="D424" s="9" t="s">
        <v>686</v>
      </c>
      <c r="E424" s="10" t="s">
        <v>687</v>
      </c>
      <c r="F424" s="58"/>
      <c r="G424" s="136">
        <v>260</v>
      </c>
      <c r="H424" s="136">
        <v>2860</v>
      </c>
      <c r="I424" s="136">
        <v>970</v>
      </c>
      <c r="J424" s="136"/>
      <c r="K424" s="136"/>
      <c r="L424" s="136">
        <v>654</v>
      </c>
      <c r="M424" s="136"/>
      <c r="N424" s="136">
        <v>1189</v>
      </c>
      <c r="O424" s="136"/>
      <c r="P424" s="136"/>
      <c r="Q424" s="79">
        <f t="shared" si="13"/>
        <v>5933</v>
      </c>
      <c r="R424" s="151">
        <f t="shared" si="12"/>
        <v>67</v>
      </c>
      <c r="S424" s="160"/>
      <c r="T424" s="35"/>
      <c r="U424" s="36"/>
      <c r="V424" s="36"/>
      <c r="W424" s="36"/>
      <c r="X424" s="36"/>
      <c r="Y424" s="36"/>
      <c r="Z424" s="36"/>
      <c r="AA424" s="36"/>
      <c r="AB424" s="36"/>
    </row>
    <row r="425" spans="1:28" s="103" customFormat="1" ht="24">
      <c r="A425" s="118" t="s">
        <v>871</v>
      </c>
      <c r="B425" s="96" t="s">
        <v>476</v>
      </c>
      <c r="C425" s="97" t="s">
        <v>689</v>
      </c>
      <c r="D425" s="98" t="s">
        <v>686</v>
      </c>
      <c r="E425" s="174" t="s">
        <v>687</v>
      </c>
      <c r="F425" s="113"/>
      <c r="G425" s="112">
        <v>3000</v>
      </c>
      <c r="H425" s="112">
        <v>3000</v>
      </c>
      <c r="I425" s="112"/>
      <c r="J425" s="112"/>
      <c r="K425" s="112"/>
      <c r="L425" s="112"/>
      <c r="M425" s="112"/>
      <c r="N425" s="112"/>
      <c r="O425" s="112"/>
      <c r="P425" s="112"/>
      <c r="Q425" s="138">
        <f t="shared" si="13"/>
        <v>6000</v>
      </c>
      <c r="R425" s="114">
        <f t="shared" si="12"/>
        <v>0</v>
      </c>
      <c r="S425" s="161"/>
      <c r="T425" s="101"/>
      <c r="U425" s="102"/>
      <c r="V425" s="102"/>
      <c r="W425" s="102"/>
      <c r="X425" s="102"/>
      <c r="Y425" s="102"/>
      <c r="Z425" s="102"/>
      <c r="AA425" s="102"/>
      <c r="AB425" s="102"/>
    </row>
    <row r="426" spans="1:29" s="43" customFormat="1" ht="24.75" thickBot="1">
      <c r="A426" s="258" t="s">
        <v>694</v>
      </c>
      <c r="B426" s="259"/>
      <c r="C426" s="259"/>
      <c r="D426" s="259"/>
      <c r="E426" s="259"/>
      <c r="F426" s="49">
        <f aca="true" t="shared" si="14" ref="F426:Q426">SUM(F6:F425)</f>
        <v>65710</v>
      </c>
      <c r="G426" s="80">
        <f t="shared" si="14"/>
        <v>157557</v>
      </c>
      <c r="H426" s="80">
        <f t="shared" si="14"/>
        <v>152003.25</v>
      </c>
      <c r="I426" s="80">
        <f t="shared" si="14"/>
        <v>99626.75</v>
      </c>
      <c r="J426" s="80">
        <f t="shared" si="14"/>
        <v>124012</v>
      </c>
      <c r="K426" s="80">
        <f t="shared" si="14"/>
        <v>124033.05</v>
      </c>
      <c r="L426" s="80">
        <f t="shared" si="14"/>
        <v>111676.5</v>
      </c>
      <c r="M426" s="80">
        <f t="shared" si="14"/>
        <v>135804.85</v>
      </c>
      <c r="N426" s="80">
        <f t="shared" si="14"/>
        <v>104909</v>
      </c>
      <c r="O426" s="80">
        <f t="shared" si="14"/>
        <v>123220.75</v>
      </c>
      <c r="P426" s="80">
        <f t="shared" si="14"/>
        <v>210941</v>
      </c>
      <c r="Q426" s="80">
        <f t="shared" si="14"/>
        <v>1409494.15</v>
      </c>
      <c r="R426" s="81"/>
      <c r="S426" s="162"/>
      <c r="U426" s="44"/>
      <c r="V426" s="45"/>
      <c r="W426" s="45"/>
      <c r="X426" s="45"/>
      <c r="Y426" s="45"/>
      <c r="Z426" s="45"/>
      <c r="AA426" s="45"/>
      <c r="AB426" s="45"/>
      <c r="AC426" s="45"/>
    </row>
    <row r="427" ht="22.5" thickTop="1"/>
    <row r="428" ht="21.75">
      <c r="L428" s="148">
        <f>111676.5-L426</f>
        <v>0</v>
      </c>
    </row>
  </sheetData>
  <sheetProtection/>
  <autoFilter ref="A6:R241"/>
  <mergeCells count="9">
    <mergeCell ref="A426:E426"/>
    <mergeCell ref="A1:T1"/>
    <mergeCell ref="A2:T2"/>
    <mergeCell ref="A3:T3"/>
    <mergeCell ref="A4:A5"/>
    <mergeCell ref="B4:C5"/>
    <mergeCell ref="D4:D5"/>
    <mergeCell ref="E4:E5"/>
    <mergeCell ref="F4:P4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</dc:creator>
  <cp:keywords/>
  <dc:description/>
  <cp:lastModifiedBy>Crazy-Ann</cp:lastModifiedBy>
  <cp:lastPrinted>2016-09-27T03:54:26Z</cp:lastPrinted>
  <dcterms:created xsi:type="dcterms:W3CDTF">2015-03-11T01:39:00Z</dcterms:created>
  <dcterms:modified xsi:type="dcterms:W3CDTF">2016-09-30T02:28:37Z</dcterms:modified>
  <cp:category/>
  <cp:version/>
  <cp:contentType/>
  <cp:contentStatus/>
</cp:coreProperties>
</file>